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Glashowerh\Downloads\"/>
    </mc:Choice>
  </mc:AlternateContent>
  <xr:revisionPtr revIDLastSave="0" documentId="8_{DB87B640-F505-41D0-997B-25D2ABF25143}" xr6:coauthVersionLast="47" xr6:coauthVersionMax="47" xr10:uidLastSave="{00000000-0000-0000-0000-000000000000}"/>
  <bookViews>
    <workbookView xWindow="-108" yWindow="-108" windowWidth="23256" windowHeight="12456" xr2:uid="{E71C9647-5E9E-4916-B444-86769C99AB0B}"/>
  </bookViews>
  <sheets>
    <sheet name="Introduction" sheetId="27" r:id="rId1"/>
    <sheet name="All Settlement Totals" sheetId="10" r:id="rId2"/>
    <sheet name="Per Calendar Year" sheetId="24" r:id="rId3"/>
    <sheet name="Allergan" sheetId="16" r:id="rId4"/>
    <sheet name="CVS" sheetId="18" r:id="rId5"/>
    <sheet name="Distributors" sheetId="1" r:id="rId6"/>
    <sheet name="Endo" sheetId="40" r:id="rId7"/>
    <sheet name="Janssen" sheetId="2" r:id="rId8"/>
    <sheet name="Kroger" sheetId="34" r:id="rId9"/>
    <sheet name="Mallinckrodt" sheetId="29" r:id="rId10"/>
    <sheet name="Masters" sheetId="38" r:id="rId11"/>
    <sheet name="McKinsey" sheetId="26" r:id="rId12"/>
    <sheet name="Meijer" sheetId="33" r:id="rId13"/>
    <sheet name="Publicis" sheetId="37" r:id="rId14"/>
    <sheet name="Teva" sheetId="14" r:id="rId15"/>
    <sheet name="Special Circumstance Fund" sheetId="44" r:id="rId16"/>
    <sheet name="Walgreens Michigan" sheetId="42" r:id="rId17"/>
    <sheet name="Walgreens National" sheetId="23" r:id="rId18"/>
    <sheet name="Walmart" sheetId="20" r:id="rId19"/>
    <sheet name="Allergan Payments" sheetId="15" r:id="rId20"/>
    <sheet name="CVS Payments" sheetId="17" r:id="rId21"/>
    <sheet name="Distributor Payments" sheetId="8" r:id="rId22"/>
    <sheet name="Janssen Payments" sheetId="11" r:id="rId23"/>
    <sheet name="Kroger Payments" sheetId="35" r:id="rId24"/>
    <sheet name="Litigation Costs Fund Payments" sheetId="39" r:id="rId25"/>
    <sheet name="Teva Payments" sheetId="13" r:id="rId26"/>
    <sheet name="Walmart Payments" sheetId="19" r:id="rId27"/>
    <sheet name="Walgreens Michigan Payments" sheetId="43" r:id="rId28"/>
    <sheet name="Walgreens National Payments" sheetId="22" r:id="rId29"/>
    <sheet name="State Payment Log" sheetId="41" r:id="rId30"/>
  </sheets>
  <definedNames>
    <definedName name="_xlnm._FilterDatabase" localSheetId="1" hidden="1">'All Settlement Totals'!$A$3:$S$284</definedName>
    <definedName name="_xlnm._FilterDatabase" localSheetId="3" hidden="1">Allergan!$A$3:$M$283</definedName>
    <definedName name="_xlnm._FilterDatabase" localSheetId="4" hidden="1">CVS!$A$3:$P$283</definedName>
    <definedName name="_xlnm._FilterDatabase" localSheetId="5" hidden="1">Distributors!$A$3:$Z$286</definedName>
    <definedName name="_xlnm._FilterDatabase" localSheetId="7" hidden="1">Janssen!$A$3:$S$283</definedName>
    <definedName name="_xlnm._FilterDatabase" localSheetId="8" hidden="1">Kroger!$A$3:$P$283</definedName>
    <definedName name="_xlnm._FilterDatabase" localSheetId="9" hidden="1">Mallinckrodt!$A$3:$E$3</definedName>
    <definedName name="_xlnm._FilterDatabase" localSheetId="10" hidden="1">Masters!$A$3:$C$283</definedName>
    <definedName name="_xlnm._FilterDatabase" localSheetId="11" hidden="1">McKinsey!$A$3:$I$3</definedName>
    <definedName name="_xlnm._FilterDatabase" localSheetId="12" hidden="1">Meijer!$A$3:$D$3</definedName>
    <definedName name="_xlnm._FilterDatabase" localSheetId="13" hidden="1">Publicis!$A$3:$D$3</definedName>
    <definedName name="_xlnm._FilterDatabase" localSheetId="29" hidden="1">'State Payment Log'!$A$4:$E$69</definedName>
    <definedName name="_xlnm._FilterDatabase" localSheetId="14" hidden="1">Teva!$A$3:$S$283</definedName>
    <definedName name="_xlnm._FilterDatabase" localSheetId="17" hidden="1">'Walgreens National'!$A$3:$U$283</definedName>
    <definedName name="_xlnm._FilterDatabase" localSheetId="18" hidden="1">Walmart!$A$3:$H$283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9" i="10" l="1"/>
  <c r="I249" i="10"/>
  <c r="E16" i="24"/>
  <c r="U282" i="23"/>
  <c r="H283" i="23"/>
  <c r="I283" i="23"/>
  <c r="J283" i="23"/>
  <c r="K283" i="23"/>
  <c r="L283" i="23"/>
  <c r="M283" i="23"/>
  <c r="N283" i="23"/>
  <c r="O283" i="23"/>
  <c r="P283" i="23"/>
  <c r="Q283" i="23"/>
  <c r="R283" i="23"/>
  <c r="S283" i="23"/>
  <c r="G283" i="23"/>
  <c r="E283" i="23"/>
  <c r="H5" i="23"/>
  <c r="I5" i="23"/>
  <c r="J5" i="23"/>
  <c r="K5" i="23"/>
  <c r="L5" i="23"/>
  <c r="M5" i="23"/>
  <c r="N5" i="23"/>
  <c r="O5" i="23"/>
  <c r="P5" i="23"/>
  <c r="Q5" i="23"/>
  <c r="R5" i="23"/>
  <c r="S5" i="23"/>
  <c r="H6" i="23"/>
  <c r="I6" i="23"/>
  <c r="J6" i="23"/>
  <c r="K6" i="23"/>
  <c r="L6" i="23"/>
  <c r="M6" i="23"/>
  <c r="N6" i="23"/>
  <c r="O6" i="23"/>
  <c r="P6" i="23"/>
  <c r="Q6" i="23"/>
  <c r="R6" i="23"/>
  <c r="S6" i="23"/>
  <c r="H7" i="23"/>
  <c r="I7" i="23"/>
  <c r="J7" i="23"/>
  <c r="K7" i="23"/>
  <c r="L7" i="23"/>
  <c r="M7" i="23"/>
  <c r="U7" i="23" s="1"/>
  <c r="N7" i="23"/>
  <c r="O7" i="23"/>
  <c r="P7" i="23"/>
  <c r="Q7" i="23"/>
  <c r="R7" i="23"/>
  <c r="S7" i="23"/>
  <c r="H8" i="23"/>
  <c r="I8" i="23"/>
  <c r="J8" i="23"/>
  <c r="K8" i="23"/>
  <c r="L8" i="23"/>
  <c r="M8" i="23"/>
  <c r="U8" i="23" s="1"/>
  <c r="N8" i="23"/>
  <c r="O8" i="23"/>
  <c r="P8" i="23"/>
  <c r="Q8" i="23"/>
  <c r="R8" i="23"/>
  <c r="S8" i="23"/>
  <c r="H9" i="23"/>
  <c r="I9" i="23"/>
  <c r="J9" i="23"/>
  <c r="K9" i="23"/>
  <c r="L9" i="23"/>
  <c r="M9" i="23"/>
  <c r="N9" i="23"/>
  <c r="O9" i="23"/>
  <c r="P9" i="23"/>
  <c r="Q9" i="23"/>
  <c r="R9" i="23"/>
  <c r="S9" i="23"/>
  <c r="H10" i="23"/>
  <c r="I10" i="23"/>
  <c r="J10" i="23"/>
  <c r="K10" i="23"/>
  <c r="L10" i="23"/>
  <c r="M10" i="23"/>
  <c r="N10" i="23"/>
  <c r="O10" i="23"/>
  <c r="P10" i="23"/>
  <c r="Q10" i="23"/>
  <c r="R10" i="23"/>
  <c r="S10" i="23"/>
  <c r="H11" i="23"/>
  <c r="I11" i="23"/>
  <c r="J11" i="23"/>
  <c r="K11" i="23"/>
  <c r="L11" i="23"/>
  <c r="M11" i="23"/>
  <c r="N11" i="23"/>
  <c r="O11" i="23"/>
  <c r="P11" i="23"/>
  <c r="Q11" i="23"/>
  <c r="R11" i="23"/>
  <c r="S11" i="23"/>
  <c r="H12" i="23"/>
  <c r="I12" i="23"/>
  <c r="J12" i="23"/>
  <c r="K12" i="23"/>
  <c r="L12" i="23"/>
  <c r="M12" i="23"/>
  <c r="N12" i="23"/>
  <c r="O12" i="23"/>
  <c r="P12" i="23"/>
  <c r="Q12" i="23"/>
  <c r="R12" i="23"/>
  <c r="S12" i="23"/>
  <c r="H13" i="23"/>
  <c r="I13" i="23"/>
  <c r="J13" i="23"/>
  <c r="K13" i="23"/>
  <c r="L13" i="23"/>
  <c r="M13" i="23"/>
  <c r="N13" i="23"/>
  <c r="O13" i="23"/>
  <c r="P13" i="23"/>
  <c r="Q13" i="23"/>
  <c r="R13" i="23"/>
  <c r="S13" i="23"/>
  <c r="H14" i="23"/>
  <c r="I14" i="23"/>
  <c r="J14" i="23"/>
  <c r="K14" i="23"/>
  <c r="L14" i="23"/>
  <c r="M14" i="23"/>
  <c r="N14" i="23"/>
  <c r="O14" i="23"/>
  <c r="P14" i="23"/>
  <c r="Q14" i="23"/>
  <c r="R14" i="23"/>
  <c r="S14" i="23"/>
  <c r="H15" i="23"/>
  <c r="I15" i="23"/>
  <c r="J15" i="23"/>
  <c r="K15" i="23"/>
  <c r="L15" i="23"/>
  <c r="M15" i="23"/>
  <c r="N15" i="23"/>
  <c r="O15" i="23"/>
  <c r="P15" i="23"/>
  <c r="Q15" i="23"/>
  <c r="R15" i="23"/>
  <c r="S15" i="23"/>
  <c r="H16" i="23"/>
  <c r="I16" i="23"/>
  <c r="J16" i="23"/>
  <c r="K16" i="23"/>
  <c r="L16" i="23"/>
  <c r="M16" i="23"/>
  <c r="N16" i="23"/>
  <c r="O16" i="23"/>
  <c r="P16" i="23"/>
  <c r="Q16" i="23"/>
  <c r="R16" i="23"/>
  <c r="S16" i="23"/>
  <c r="H17" i="23"/>
  <c r="I17" i="23"/>
  <c r="J17" i="23"/>
  <c r="K17" i="23"/>
  <c r="L17" i="23"/>
  <c r="M17" i="23"/>
  <c r="N17" i="23"/>
  <c r="O17" i="23"/>
  <c r="P17" i="23"/>
  <c r="Q17" i="23"/>
  <c r="R17" i="23"/>
  <c r="S17" i="23"/>
  <c r="H18" i="23"/>
  <c r="I18" i="23"/>
  <c r="J18" i="23"/>
  <c r="K18" i="23"/>
  <c r="L18" i="23"/>
  <c r="M18" i="23"/>
  <c r="N18" i="23"/>
  <c r="O18" i="23"/>
  <c r="P18" i="23"/>
  <c r="Q18" i="23"/>
  <c r="R18" i="23"/>
  <c r="S18" i="23"/>
  <c r="H19" i="23"/>
  <c r="I19" i="23"/>
  <c r="J19" i="23"/>
  <c r="K19" i="23"/>
  <c r="L19" i="23"/>
  <c r="M19" i="23"/>
  <c r="N19" i="23"/>
  <c r="O19" i="23"/>
  <c r="P19" i="23"/>
  <c r="Q19" i="23"/>
  <c r="R19" i="23"/>
  <c r="S19" i="23"/>
  <c r="H20" i="23"/>
  <c r="I20" i="23"/>
  <c r="J20" i="23"/>
  <c r="K20" i="23"/>
  <c r="L20" i="23"/>
  <c r="M20" i="23"/>
  <c r="N20" i="23"/>
  <c r="O20" i="23"/>
  <c r="P20" i="23"/>
  <c r="Q20" i="23"/>
  <c r="R20" i="23"/>
  <c r="S20" i="23"/>
  <c r="H21" i="23"/>
  <c r="I21" i="23"/>
  <c r="J21" i="23"/>
  <c r="K21" i="23"/>
  <c r="L21" i="23"/>
  <c r="M21" i="23"/>
  <c r="N21" i="23"/>
  <c r="O21" i="23"/>
  <c r="P21" i="23"/>
  <c r="Q21" i="23"/>
  <c r="R21" i="23"/>
  <c r="S21" i="23"/>
  <c r="H22" i="23"/>
  <c r="I22" i="23"/>
  <c r="J22" i="23"/>
  <c r="K22" i="23"/>
  <c r="L22" i="23"/>
  <c r="M22" i="23"/>
  <c r="N22" i="23"/>
  <c r="O22" i="23"/>
  <c r="P22" i="23"/>
  <c r="Q22" i="23"/>
  <c r="R22" i="23"/>
  <c r="S22" i="23"/>
  <c r="H23" i="23"/>
  <c r="I23" i="23"/>
  <c r="J23" i="23"/>
  <c r="K23" i="23"/>
  <c r="L23" i="23"/>
  <c r="M23" i="23"/>
  <c r="N23" i="23"/>
  <c r="O23" i="23"/>
  <c r="P23" i="23"/>
  <c r="Q23" i="23"/>
  <c r="R23" i="23"/>
  <c r="S23" i="23"/>
  <c r="H24" i="23"/>
  <c r="I24" i="23"/>
  <c r="J24" i="23"/>
  <c r="K24" i="23"/>
  <c r="L24" i="23"/>
  <c r="M24" i="23"/>
  <c r="N24" i="23"/>
  <c r="O24" i="23"/>
  <c r="P24" i="23"/>
  <c r="Q24" i="23"/>
  <c r="R24" i="23"/>
  <c r="S24" i="23"/>
  <c r="H25" i="23"/>
  <c r="I25" i="23"/>
  <c r="J25" i="23"/>
  <c r="K25" i="23"/>
  <c r="L25" i="23"/>
  <c r="M25" i="23"/>
  <c r="N25" i="23"/>
  <c r="O25" i="23"/>
  <c r="P25" i="23"/>
  <c r="Q25" i="23"/>
  <c r="R25" i="23"/>
  <c r="S25" i="23"/>
  <c r="H26" i="23"/>
  <c r="I26" i="23"/>
  <c r="J26" i="23"/>
  <c r="K26" i="23"/>
  <c r="L26" i="23"/>
  <c r="M26" i="23"/>
  <c r="N26" i="23"/>
  <c r="O26" i="23"/>
  <c r="P26" i="23"/>
  <c r="Q26" i="23"/>
  <c r="R26" i="23"/>
  <c r="S26" i="23"/>
  <c r="H27" i="23"/>
  <c r="I27" i="23"/>
  <c r="J27" i="23"/>
  <c r="K27" i="23"/>
  <c r="L27" i="23"/>
  <c r="M27" i="23"/>
  <c r="N27" i="23"/>
  <c r="O27" i="23"/>
  <c r="P27" i="23"/>
  <c r="Q27" i="23"/>
  <c r="R27" i="23"/>
  <c r="S27" i="23"/>
  <c r="H28" i="23"/>
  <c r="I28" i="23"/>
  <c r="J28" i="23"/>
  <c r="K28" i="23"/>
  <c r="L28" i="23"/>
  <c r="M28" i="23"/>
  <c r="N28" i="23"/>
  <c r="O28" i="23"/>
  <c r="P28" i="23"/>
  <c r="Q28" i="23"/>
  <c r="R28" i="23"/>
  <c r="S28" i="23"/>
  <c r="H29" i="23"/>
  <c r="I29" i="23"/>
  <c r="J29" i="23"/>
  <c r="K29" i="23"/>
  <c r="L29" i="23"/>
  <c r="M29" i="23"/>
  <c r="N29" i="23"/>
  <c r="O29" i="23"/>
  <c r="P29" i="23"/>
  <c r="Q29" i="23"/>
  <c r="R29" i="23"/>
  <c r="S29" i="23"/>
  <c r="H30" i="23"/>
  <c r="I30" i="23"/>
  <c r="J30" i="23"/>
  <c r="K30" i="23"/>
  <c r="L30" i="23"/>
  <c r="M30" i="23"/>
  <c r="N30" i="23"/>
  <c r="O30" i="23"/>
  <c r="P30" i="23"/>
  <c r="Q30" i="23"/>
  <c r="R30" i="23"/>
  <c r="S30" i="23"/>
  <c r="H31" i="23"/>
  <c r="I31" i="23"/>
  <c r="J31" i="23"/>
  <c r="K31" i="23"/>
  <c r="L31" i="23"/>
  <c r="M31" i="23"/>
  <c r="N31" i="23"/>
  <c r="O31" i="23"/>
  <c r="P31" i="23"/>
  <c r="Q31" i="23"/>
  <c r="R31" i="23"/>
  <c r="S31" i="23"/>
  <c r="H32" i="23"/>
  <c r="I32" i="23"/>
  <c r="J32" i="23"/>
  <c r="K32" i="23"/>
  <c r="L32" i="23"/>
  <c r="M32" i="23"/>
  <c r="N32" i="23"/>
  <c r="O32" i="23"/>
  <c r="P32" i="23"/>
  <c r="Q32" i="23"/>
  <c r="R32" i="23"/>
  <c r="S32" i="23"/>
  <c r="H33" i="23"/>
  <c r="I33" i="23"/>
  <c r="J33" i="23"/>
  <c r="K33" i="23"/>
  <c r="L33" i="23"/>
  <c r="M33" i="23"/>
  <c r="N33" i="23"/>
  <c r="O33" i="23"/>
  <c r="P33" i="23"/>
  <c r="Q33" i="23"/>
  <c r="R33" i="23"/>
  <c r="S33" i="23"/>
  <c r="H34" i="23"/>
  <c r="I34" i="23"/>
  <c r="J34" i="23"/>
  <c r="K34" i="23"/>
  <c r="L34" i="23"/>
  <c r="M34" i="23"/>
  <c r="N34" i="23"/>
  <c r="O34" i="23"/>
  <c r="P34" i="23"/>
  <c r="Q34" i="23"/>
  <c r="R34" i="23"/>
  <c r="S34" i="23"/>
  <c r="H35" i="23"/>
  <c r="I35" i="23"/>
  <c r="J35" i="23"/>
  <c r="K35" i="23"/>
  <c r="L35" i="23"/>
  <c r="M35" i="23"/>
  <c r="N35" i="23"/>
  <c r="O35" i="23"/>
  <c r="P35" i="23"/>
  <c r="Q35" i="23"/>
  <c r="R35" i="23"/>
  <c r="S35" i="23"/>
  <c r="H36" i="23"/>
  <c r="I36" i="23"/>
  <c r="J36" i="23"/>
  <c r="K36" i="23"/>
  <c r="L36" i="23"/>
  <c r="M36" i="23"/>
  <c r="N36" i="23"/>
  <c r="O36" i="23"/>
  <c r="P36" i="23"/>
  <c r="Q36" i="23"/>
  <c r="R36" i="23"/>
  <c r="S36" i="23"/>
  <c r="H37" i="23"/>
  <c r="I37" i="23"/>
  <c r="J37" i="23"/>
  <c r="K37" i="23"/>
  <c r="L37" i="23"/>
  <c r="M37" i="23"/>
  <c r="N37" i="23"/>
  <c r="O37" i="23"/>
  <c r="P37" i="23"/>
  <c r="Q37" i="23"/>
  <c r="R37" i="23"/>
  <c r="S37" i="23"/>
  <c r="H38" i="23"/>
  <c r="I38" i="23"/>
  <c r="J38" i="23"/>
  <c r="K38" i="23"/>
  <c r="L38" i="23"/>
  <c r="M38" i="23"/>
  <c r="N38" i="23"/>
  <c r="O38" i="23"/>
  <c r="P38" i="23"/>
  <c r="Q38" i="23"/>
  <c r="R38" i="23"/>
  <c r="S38" i="23"/>
  <c r="H39" i="23"/>
  <c r="I39" i="23"/>
  <c r="J39" i="23"/>
  <c r="K39" i="23"/>
  <c r="L39" i="23"/>
  <c r="M39" i="23"/>
  <c r="N39" i="23"/>
  <c r="O39" i="23"/>
  <c r="P39" i="23"/>
  <c r="Q39" i="23"/>
  <c r="R39" i="23"/>
  <c r="S39" i="23"/>
  <c r="H40" i="23"/>
  <c r="I40" i="23"/>
  <c r="J40" i="23"/>
  <c r="K40" i="23"/>
  <c r="L40" i="23"/>
  <c r="M40" i="23"/>
  <c r="N40" i="23"/>
  <c r="O40" i="23"/>
  <c r="P40" i="23"/>
  <c r="Q40" i="23"/>
  <c r="R40" i="23"/>
  <c r="S40" i="23"/>
  <c r="H41" i="23"/>
  <c r="I41" i="23"/>
  <c r="J41" i="23"/>
  <c r="K41" i="23"/>
  <c r="L41" i="23"/>
  <c r="M41" i="23"/>
  <c r="N41" i="23"/>
  <c r="O41" i="23"/>
  <c r="P41" i="23"/>
  <c r="Q41" i="23"/>
  <c r="R41" i="23"/>
  <c r="S41" i="23"/>
  <c r="H42" i="23"/>
  <c r="I42" i="23"/>
  <c r="J42" i="23"/>
  <c r="K42" i="23"/>
  <c r="L42" i="23"/>
  <c r="M42" i="23"/>
  <c r="N42" i="23"/>
  <c r="O42" i="23"/>
  <c r="P42" i="23"/>
  <c r="Q42" i="23"/>
  <c r="R42" i="23"/>
  <c r="S42" i="23"/>
  <c r="H43" i="23"/>
  <c r="I43" i="23"/>
  <c r="J43" i="23"/>
  <c r="K43" i="23"/>
  <c r="L43" i="23"/>
  <c r="M43" i="23"/>
  <c r="U43" i="23" s="1"/>
  <c r="N43" i="23"/>
  <c r="O43" i="23"/>
  <c r="P43" i="23"/>
  <c r="Q43" i="23"/>
  <c r="R43" i="23"/>
  <c r="S43" i="23"/>
  <c r="H44" i="23"/>
  <c r="I44" i="23"/>
  <c r="J44" i="23"/>
  <c r="K44" i="23"/>
  <c r="L44" i="23"/>
  <c r="M44" i="23"/>
  <c r="N44" i="23"/>
  <c r="O44" i="23"/>
  <c r="P44" i="23"/>
  <c r="Q44" i="23"/>
  <c r="R44" i="23"/>
  <c r="S44" i="23"/>
  <c r="H45" i="23"/>
  <c r="I45" i="23"/>
  <c r="J45" i="23"/>
  <c r="K45" i="23"/>
  <c r="L45" i="23"/>
  <c r="M45" i="23"/>
  <c r="N45" i="23"/>
  <c r="O45" i="23"/>
  <c r="P45" i="23"/>
  <c r="Q45" i="23"/>
  <c r="R45" i="23"/>
  <c r="S45" i="23"/>
  <c r="H46" i="23"/>
  <c r="I46" i="23"/>
  <c r="J46" i="23"/>
  <c r="K46" i="23"/>
  <c r="L46" i="23"/>
  <c r="M46" i="23"/>
  <c r="N46" i="23"/>
  <c r="O46" i="23"/>
  <c r="P46" i="23"/>
  <c r="Q46" i="23"/>
  <c r="R46" i="23"/>
  <c r="S46" i="23"/>
  <c r="H47" i="23"/>
  <c r="I47" i="23"/>
  <c r="J47" i="23"/>
  <c r="K47" i="23"/>
  <c r="L47" i="23"/>
  <c r="M47" i="23"/>
  <c r="N47" i="23"/>
  <c r="O47" i="23"/>
  <c r="P47" i="23"/>
  <c r="Q47" i="23"/>
  <c r="R47" i="23"/>
  <c r="S47" i="23"/>
  <c r="H48" i="23"/>
  <c r="I48" i="23"/>
  <c r="J48" i="23"/>
  <c r="K48" i="23"/>
  <c r="L48" i="23"/>
  <c r="M48" i="23"/>
  <c r="N48" i="23"/>
  <c r="O48" i="23"/>
  <c r="P48" i="23"/>
  <c r="Q48" i="23"/>
  <c r="R48" i="23"/>
  <c r="S48" i="23"/>
  <c r="H49" i="23"/>
  <c r="I49" i="23"/>
  <c r="J49" i="23"/>
  <c r="K49" i="23"/>
  <c r="L49" i="23"/>
  <c r="M49" i="23"/>
  <c r="N49" i="23"/>
  <c r="O49" i="23"/>
  <c r="P49" i="23"/>
  <c r="Q49" i="23"/>
  <c r="R49" i="23"/>
  <c r="S49" i="23"/>
  <c r="H50" i="23"/>
  <c r="I50" i="23"/>
  <c r="J50" i="23"/>
  <c r="K50" i="23"/>
  <c r="L50" i="23"/>
  <c r="M50" i="23"/>
  <c r="N50" i="23"/>
  <c r="O50" i="23"/>
  <c r="P50" i="23"/>
  <c r="Q50" i="23"/>
  <c r="R50" i="23"/>
  <c r="S50" i="23"/>
  <c r="H51" i="23"/>
  <c r="I51" i="23"/>
  <c r="J51" i="23"/>
  <c r="K51" i="23"/>
  <c r="L51" i="23"/>
  <c r="M51" i="23"/>
  <c r="N51" i="23"/>
  <c r="O51" i="23"/>
  <c r="P51" i="23"/>
  <c r="Q51" i="23"/>
  <c r="R51" i="23"/>
  <c r="S51" i="23"/>
  <c r="H52" i="23"/>
  <c r="I52" i="23"/>
  <c r="J52" i="23"/>
  <c r="K52" i="23"/>
  <c r="L52" i="23"/>
  <c r="M52" i="23"/>
  <c r="N52" i="23"/>
  <c r="O52" i="23"/>
  <c r="P52" i="23"/>
  <c r="Q52" i="23"/>
  <c r="R52" i="23"/>
  <c r="S52" i="23"/>
  <c r="H53" i="23"/>
  <c r="I53" i="23"/>
  <c r="J53" i="23"/>
  <c r="K53" i="23"/>
  <c r="L53" i="23"/>
  <c r="M53" i="23"/>
  <c r="N53" i="23"/>
  <c r="O53" i="23"/>
  <c r="P53" i="23"/>
  <c r="Q53" i="23"/>
  <c r="R53" i="23"/>
  <c r="S53" i="23"/>
  <c r="H54" i="23"/>
  <c r="I54" i="23"/>
  <c r="J54" i="23"/>
  <c r="K54" i="23"/>
  <c r="L54" i="23"/>
  <c r="M54" i="23"/>
  <c r="N54" i="23"/>
  <c r="O54" i="23"/>
  <c r="P54" i="23"/>
  <c r="Q54" i="23"/>
  <c r="R54" i="23"/>
  <c r="S54" i="23"/>
  <c r="H55" i="23"/>
  <c r="I55" i="23"/>
  <c r="J55" i="23"/>
  <c r="K55" i="23"/>
  <c r="L55" i="23"/>
  <c r="M55" i="23"/>
  <c r="N55" i="23"/>
  <c r="O55" i="23"/>
  <c r="P55" i="23"/>
  <c r="Q55" i="23"/>
  <c r="R55" i="23"/>
  <c r="S55" i="23"/>
  <c r="H56" i="23"/>
  <c r="I56" i="23"/>
  <c r="J56" i="23"/>
  <c r="K56" i="23"/>
  <c r="L56" i="23"/>
  <c r="M56" i="23"/>
  <c r="N56" i="23"/>
  <c r="O56" i="23"/>
  <c r="P56" i="23"/>
  <c r="Q56" i="23"/>
  <c r="R56" i="23"/>
  <c r="S56" i="23"/>
  <c r="H57" i="23"/>
  <c r="I57" i="23"/>
  <c r="J57" i="23"/>
  <c r="K57" i="23"/>
  <c r="L57" i="23"/>
  <c r="M57" i="23"/>
  <c r="N57" i="23"/>
  <c r="O57" i="23"/>
  <c r="P57" i="23"/>
  <c r="Q57" i="23"/>
  <c r="R57" i="23"/>
  <c r="S57" i="23"/>
  <c r="H58" i="23"/>
  <c r="I58" i="23"/>
  <c r="J58" i="23"/>
  <c r="K58" i="23"/>
  <c r="L58" i="23"/>
  <c r="M58" i="23"/>
  <c r="N58" i="23"/>
  <c r="O58" i="23"/>
  <c r="P58" i="23"/>
  <c r="Q58" i="23"/>
  <c r="R58" i="23"/>
  <c r="S58" i="23"/>
  <c r="H59" i="23"/>
  <c r="I59" i="23"/>
  <c r="J59" i="23"/>
  <c r="K59" i="23"/>
  <c r="L59" i="23"/>
  <c r="M59" i="23"/>
  <c r="N59" i="23"/>
  <c r="O59" i="23"/>
  <c r="P59" i="23"/>
  <c r="Q59" i="23"/>
  <c r="R59" i="23"/>
  <c r="S59" i="23"/>
  <c r="H60" i="23"/>
  <c r="I60" i="23"/>
  <c r="J60" i="23"/>
  <c r="K60" i="23"/>
  <c r="L60" i="23"/>
  <c r="M60" i="23"/>
  <c r="N60" i="23"/>
  <c r="O60" i="23"/>
  <c r="P60" i="23"/>
  <c r="Q60" i="23"/>
  <c r="R60" i="23"/>
  <c r="S60" i="23"/>
  <c r="H61" i="23"/>
  <c r="I61" i="23"/>
  <c r="J61" i="23"/>
  <c r="K61" i="23"/>
  <c r="L61" i="23"/>
  <c r="M61" i="23"/>
  <c r="N61" i="23"/>
  <c r="O61" i="23"/>
  <c r="P61" i="23"/>
  <c r="Q61" i="23"/>
  <c r="R61" i="23"/>
  <c r="S61" i="23"/>
  <c r="H62" i="23"/>
  <c r="I62" i="23"/>
  <c r="J62" i="23"/>
  <c r="K62" i="23"/>
  <c r="L62" i="23"/>
  <c r="M62" i="23"/>
  <c r="N62" i="23"/>
  <c r="O62" i="23"/>
  <c r="P62" i="23"/>
  <c r="Q62" i="23"/>
  <c r="R62" i="23"/>
  <c r="S62" i="23"/>
  <c r="H63" i="23"/>
  <c r="I63" i="23"/>
  <c r="J63" i="23"/>
  <c r="K63" i="23"/>
  <c r="L63" i="23"/>
  <c r="M63" i="23"/>
  <c r="N63" i="23"/>
  <c r="O63" i="23"/>
  <c r="P63" i="23"/>
  <c r="Q63" i="23"/>
  <c r="R63" i="23"/>
  <c r="S63" i="23"/>
  <c r="H64" i="23"/>
  <c r="I64" i="23"/>
  <c r="J64" i="23"/>
  <c r="K64" i="23"/>
  <c r="L64" i="23"/>
  <c r="M64" i="23"/>
  <c r="N64" i="23"/>
  <c r="O64" i="23"/>
  <c r="P64" i="23"/>
  <c r="Q64" i="23"/>
  <c r="R64" i="23"/>
  <c r="S64" i="23"/>
  <c r="H65" i="23"/>
  <c r="I65" i="23"/>
  <c r="J65" i="23"/>
  <c r="K65" i="23"/>
  <c r="L65" i="23"/>
  <c r="M65" i="23"/>
  <c r="N65" i="23"/>
  <c r="O65" i="23"/>
  <c r="P65" i="23"/>
  <c r="Q65" i="23"/>
  <c r="R65" i="23"/>
  <c r="S65" i="23"/>
  <c r="H66" i="23"/>
  <c r="I66" i="23"/>
  <c r="J66" i="23"/>
  <c r="K66" i="23"/>
  <c r="L66" i="23"/>
  <c r="M66" i="23"/>
  <c r="N66" i="23"/>
  <c r="O66" i="23"/>
  <c r="P66" i="23"/>
  <c r="Q66" i="23"/>
  <c r="R66" i="23"/>
  <c r="S66" i="23"/>
  <c r="H67" i="23"/>
  <c r="I67" i="23"/>
  <c r="J67" i="23"/>
  <c r="K67" i="23"/>
  <c r="L67" i="23"/>
  <c r="M67" i="23"/>
  <c r="N67" i="23"/>
  <c r="O67" i="23"/>
  <c r="P67" i="23"/>
  <c r="Q67" i="23"/>
  <c r="R67" i="23"/>
  <c r="S67" i="23"/>
  <c r="H68" i="23"/>
  <c r="I68" i="23"/>
  <c r="J68" i="23"/>
  <c r="K68" i="23"/>
  <c r="L68" i="23"/>
  <c r="M68" i="23"/>
  <c r="N68" i="23"/>
  <c r="O68" i="23"/>
  <c r="P68" i="23"/>
  <c r="Q68" i="23"/>
  <c r="R68" i="23"/>
  <c r="S68" i="23"/>
  <c r="H69" i="23"/>
  <c r="I69" i="23"/>
  <c r="J69" i="23"/>
  <c r="K69" i="23"/>
  <c r="L69" i="23"/>
  <c r="M69" i="23"/>
  <c r="N69" i="23"/>
  <c r="O69" i="23"/>
  <c r="P69" i="23"/>
  <c r="Q69" i="23"/>
  <c r="R69" i="23"/>
  <c r="S69" i="23"/>
  <c r="H70" i="23"/>
  <c r="I70" i="23"/>
  <c r="J70" i="23"/>
  <c r="K70" i="23"/>
  <c r="L70" i="23"/>
  <c r="M70" i="23"/>
  <c r="N70" i="23"/>
  <c r="O70" i="23"/>
  <c r="P70" i="23"/>
  <c r="Q70" i="23"/>
  <c r="R70" i="23"/>
  <c r="S70" i="23"/>
  <c r="H71" i="23"/>
  <c r="I71" i="23"/>
  <c r="J71" i="23"/>
  <c r="K71" i="23"/>
  <c r="L71" i="23"/>
  <c r="M71" i="23"/>
  <c r="N71" i="23"/>
  <c r="O71" i="23"/>
  <c r="P71" i="23"/>
  <c r="Q71" i="23"/>
  <c r="R71" i="23"/>
  <c r="S71" i="23"/>
  <c r="H72" i="23"/>
  <c r="I72" i="23"/>
  <c r="J72" i="23"/>
  <c r="K72" i="23"/>
  <c r="L72" i="23"/>
  <c r="M72" i="23"/>
  <c r="N72" i="23"/>
  <c r="O72" i="23"/>
  <c r="P72" i="23"/>
  <c r="Q72" i="23"/>
  <c r="R72" i="23"/>
  <c r="S72" i="23"/>
  <c r="H73" i="23"/>
  <c r="I73" i="23"/>
  <c r="J73" i="23"/>
  <c r="K73" i="23"/>
  <c r="L73" i="23"/>
  <c r="M73" i="23"/>
  <c r="N73" i="23"/>
  <c r="O73" i="23"/>
  <c r="P73" i="23"/>
  <c r="Q73" i="23"/>
  <c r="R73" i="23"/>
  <c r="S73" i="23"/>
  <c r="H74" i="23"/>
  <c r="I74" i="23"/>
  <c r="J74" i="23"/>
  <c r="K74" i="23"/>
  <c r="L74" i="23"/>
  <c r="M74" i="23"/>
  <c r="N74" i="23"/>
  <c r="O74" i="23"/>
  <c r="P74" i="23"/>
  <c r="Q74" i="23"/>
  <c r="R74" i="23"/>
  <c r="S74" i="23"/>
  <c r="H75" i="23"/>
  <c r="I75" i="23"/>
  <c r="J75" i="23"/>
  <c r="K75" i="23"/>
  <c r="L75" i="23"/>
  <c r="M75" i="23"/>
  <c r="N75" i="23"/>
  <c r="O75" i="23"/>
  <c r="P75" i="23"/>
  <c r="Q75" i="23"/>
  <c r="R75" i="23"/>
  <c r="S75" i="23"/>
  <c r="H76" i="23"/>
  <c r="I76" i="23"/>
  <c r="J76" i="23"/>
  <c r="K76" i="23"/>
  <c r="L76" i="23"/>
  <c r="M76" i="23"/>
  <c r="N76" i="23"/>
  <c r="O76" i="23"/>
  <c r="P76" i="23"/>
  <c r="Q76" i="23"/>
  <c r="R76" i="23"/>
  <c r="S76" i="23"/>
  <c r="H77" i="23"/>
  <c r="I77" i="23"/>
  <c r="J77" i="23"/>
  <c r="K77" i="23"/>
  <c r="L77" i="23"/>
  <c r="M77" i="23"/>
  <c r="N77" i="23"/>
  <c r="O77" i="23"/>
  <c r="P77" i="23"/>
  <c r="Q77" i="23"/>
  <c r="R77" i="23"/>
  <c r="S77" i="23"/>
  <c r="H78" i="23"/>
  <c r="I78" i="23"/>
  <c r="J78" i="23"/>
  <c r="K78" i="23"/>
  <c r="L78" i="23"/>
  <c r="M78" i="23"/>
  <c r="U78" i="23" s="1"/>
  <c r="N78" i="23"/>
  <c r="O78" i="23"/>
  <c r="P78" i="23"/>
  <c r="Q78" i="23"/>
  <c r="R78" i="23"/>
  <c r="S78" i="23"/>
  <c r="H79" i="23"/>
  <c r="I79" i="23"/>
  <c r="J79" i="23"/>
  <c r="K79" i="23"/>
  <c r="L79" i="23"/>
  <c r="M79" i="23"/>
  <c r="N79" i="23"/>
  <c r="O79" i="23"/>
  <c r="P79" i="23"/>
  <c r="Q79" i="23"/>
  <c r="R79" i="23"/>
  <c r="S79" i="23"/>
  <c r="H80" i="23"/>
  <c r="I80" i="23"/>
  <c r="J80" i="23"/>
  <c r="K80" i="23"/>
  <c r="L80" i="23"/>
  <c r="M80" i="23"/>
  <c r="N80" i="23"/>
  <c r="O80" i="23"/>
  <c r="P80" i="23"/>
  <c r="Q80" i="23"/>
  <c r="R80" i="23"/>
  <c r="S80" i="23"/>
  <c r="H81" i="23"/>
  <c r="I81" i="23"/>
  <c r="J81" i="23"/>
  <c r="K81" i="23"/>
  <c r="L81" i="23"/>
  <c r="M81" i="23"/>
  <c r="N81" i="23"/>
  <c r="O81" i="23"/>
  <c r="P81" i="23"/>
  <c r="Q81" i="23"/>
  <c r="R81" i="23"/>
  <c r="S81" i="23"/>
  <c r="H82" i="23"/>
  <c r="I82" i="23"/>
  <c r="J82" i="23"/>
  <c r="K82" i="23"/>
  <c r="L82" i="23"/>
  <c r="M82" i="23"/>
  <c r="N82" i="23"/>
  <c r="O82" i="23"/>
  <c r="P82" i="23"/>
  <c r="Q82" i="23"/>
  <c r="R82" i="23"/>
  <c r="S82" i="23"/>
  <c r="H83" i="23"/>
  <c r="I83" i="23"/>
  <c r="J83" i="23"/>
  <c r="K83" i="23"/>
  <c r="L83" i="23"/>
  <c r="M83" i="23"/>
  <c r="N83" i="23"/>
  <c r="O83" i="23"/>
  <c r="P83" i="23"/>
  <c r="Q83" i="23"/>
  <c r="R83" i="23"/>
  <c r="S83" i="23"/>
  <c r="H84" i="23"/>
  <c r="I84" i="23"/>
  <c r="J84" i="23"/>
  <c r="K84" i="23"/>
  <c r="L84" i="23"/>
  <c r="M84" i="23"/>
  <c r="N84" i="23"/>
  <c r="O84" i="23"/>
  <c r="P84" i="23"/>
  <c r="Q84" i="23"/>
  <c r="R84" i="23"/>
  <c r="S84" i="23"/>
  <c r="H85" i="23"/>
  <c r="I85" i="23"/>
  <c r="J85" i="23"/>
  <c r="K85" i="23"/>
  <c r="L85" i="23"/>
  <c r="M85" i="23"/>
  <c r="N85" i="23"/>
  <c r="O85" i="23"/>
  <c r="P85" i="23"/>
  <c r="Q85" i="23"/>
  <c r="R85" i="23"/>
  <c r="S85" i="23"/>
  <c r="H86" i="23"/>
  <c r="I86" i="23"/>
  <c r="J86" i="23"/>
  <c r="K86" i="23"/>
  <c r="L86" i="23"/>
  <c r="M86" i="23"/>
  <c r="N86" i="23"/>
  <c r="O86" i="23"/>
  <c r="P86" i="23"/>
  <c r="Q86" i="23"/>
  <c r="R86" i="23"/>
  <c r="S86" i="23"/>
  <c r="H87" i="23"/>
  <c r="I87" i="23"/>
  <c r="J87" i="23"/>
  <c r="K87" i="23"/>
  <c r="L87" i="23"/>
  <c r="M87" i="23"/>
  <c r="N87" i="23"/>
  <c r="O87" i="23"/>
  <c r="P87" i="23"/>
  <c r="Q87" i="23"/>
  <c r="R87" i="23"/>
  <c r="S87" i="23"/>
  <c r="H88" i="23"/>
  <c r="I88" i="23"/>
  <c r="J88" i="23"/>
  <c r="K88" i="23"/>
  <c r="L88" i="23"/>
  <c r="M88" i="23"/>
  <c r="U88" i="23" s="1"/>
  <c r="N88" i="23"/>
  <c r="O88" i="23"/>
  <c r="P88" i="23"/>
  <c r="Q88" i="23"/>
  <c r="R88" i="23"/>
  <c r="S88" i="23"/>
  <c r="H89" i="23"/>
  <c r="I89" i="23"/>
  <c r="J89" i="23"/>
  <c r="K89" i="23"/>
  <c r="L89" i="23"/>
  <c r="M89" i="23"/>
  <c r="N89" i="23"/>
  <c r="O89" i="23"/>
  <c r="P89" i="23"/>
  <c r="Q89" i="23"/>
  <c r="R89" i="23"/>
  <c r="S89" i="23"/>
  <c r="H90" i="23"/>
  <c r="I90" i="23"/>
  <c r="J90" i="23"/>
  <c r="K90" i="23"/>
  <c r="L90" i="23"/>
  <c r="M90" i="23"/>
  <c r="N90" i="23"/>
  <c r="O90" i="23"/>
  <c r="P90" i="23"/>
  <c r="Q90" i="23"/>
  <c r="R90" i="23"/>
  <c r="S90" i="23"/>
  <c r="H91" i="23"/>
  <c r="I91" i="23"/>
  <c r="J91" i="23"/>
  <c r="K91" i="23"/>
  <c r="L91" i="23"/>
  <c r="M91" i="23"/>
  <c r="N91" i="23"/>
  <c r="O91" i="23"/>
  <c r="P91" i="23"/>
  <c r="Q91" i="23"/>
  <c r="R91" i="23"/>
  <c r="S91" i="23"/>
  <c r="H92" i="23"/>
  <c r="I92" i="23"/>
  <c r="J92" i="23"/>
  <c r="K92" i="23"/>
  <c r="L92" i="23"/>
  <c r="M92" i="23"/>
  <c r="N92" i="23"/>
  <c r="O92" i="23"/>
  <c r="P92" i="23"/>
  <c r="Q92" i="23"/>
  <c r="R92" i="23"/>
  <c r="S92" i="23"/>
  <c r="H93" i="23"/>
  <c r="I93" i="23"/>
  <c r="J93" i="23"/>
  <c r="K93" i="23"/>
  <c r="L93" i="23"/>
  <c r="M93" i="23"/>
  <c r="N93" i="23"/>
  <c r="O93" i="23"/>
  <c r="P93" i="23"/>
  <c r="Q93" i="23"/>
  <c r="R93" i="23"/>
  <c r="S93" i="23"/>
  <c r="H94" i="23"/>
  <c r="I94" i="23"/>
  <c r="J94" i="23"/>
  <c r="K94" i="23"/>
  <c r="L94" i="23"/>
  <c r="M94" i="23"/>
  <c r="N94" i="23"/>
  <c r="O94" i="23"/>
  <c r="P94" i="23"/>
  <c r="Q94" i="23"/>
  <c r="R94" i="23"/>
  <c r="S94" i="23"/>
  <c r="H95" i="23"/>
  <c r="I95" i="23"/>
  <c r="J95" i="23"/>
  <c r="K95" i="23"/>
  <c r="L95" i="23"/>
  <c r="M95" i="23"/>
  <c r="N95" i="23"/>
  <c r="O95" i="23"/>
  <c r="P95" i="23"/>
  <c r="Q95" i="23"/>
  <c r="R95" i="23"/>
  <c r="S95" i="23"/>
  <c r="H96" i="23"/>
  <c r="I96" i="23"/>
  <c r="J96" i="23"/>
  <c r="K96" i="23"/>
  <c r="L96" i="23"/>
  <c r="M96" i="23"/>
  <c r="N96" i="23"/>
  <c r="O96" i="23"/>
  <c r="P96" i="23"/>
  <c r="Q96" i="23"/>
  <c r="R96" i="23"/>
  <c r="S96" i="23"/>
  <c r="H97" i="23"/>
  <c r="I97" i="23"/>
  <c r="J97" i="23"/>
  <c r="K97" i="23"/>
  <c r="L97" i="23"/>
  <c r="M97" i="23"/>
  <c r="N97" i="23"/>
  <c r="O97" i="23"/>
  <c r="P97" i="23"/>
  <c r="Q97" i="23"/>
  <c r="R97" i="23"/>
  <c r="S97" i="23"/>
  <c r="H98" i="23"/>
  <c r="I98" i="23"/>
  <c r="J98" i="23"/>
  <c r="K98" i="23"/>
  <c r="L98" i="23"/>
  <c r="M98" i="23"/>
  <c r="N98" i="23"/>
  <c r="O98" i="23"/>
  <c r="P98" i="23"/>
  <c r="Q98" i="23"/>
  <c r="R98" i="23"/>
  <c r="S98" i="23"/>
  <c r="H99" i="23"/>
  <c r="I99" i="23"/>
  <c r="J99" i="23"/>
  <c r="K99" i="23"/>
  <c r="L99" i="23"/>
  <c r="M99" i="23"/>
  <c r="N99" i="23"/>
  <c r="O99" i="23"/>
  <c r="P99" i="23"/>
  <c r="Q99" i="23"/>
  <c r="R99" i="23"/>
  <c r="S99" i="23"/>
  <c r="H100" i="23"/>
  <c r="I100" i="23"/>
  <c r="J100" i="23"/>
  <c r="K100" i="23"/>
  <c r="L100" i="23"/>
  <c r="M100" i="23"/>
  <c r="N100" i="23"/>
  <c r="O100" i="23"/>
  <c r="P100" i="23"/>
  <c r="Q100" i="23"/>
  <c r="R100" i="23"/>
  <c r="S100" i="23"/>
  <c r="H101" i="23"/>
  <c r="I101" i="23"/>
  <c r="J101" i="23"/>
  <c r="K101" i="23"/>
  <c r="L101" i="23"/>
  <c r="M101" i="23"/>
  <c r="N101" i="23"/>
  <c r="O101" i="23"/>
  <c r="P101" i="23"/>
  <c r="Q101" i="23"/>
  <c r="R101" i="23"/>
  <c r="S101" i="23"/>
  <c r="H102" i="23"/>
  <c r="I102" i="23"/>
  <c r="J102" i="23"/>
  <c r="K102" i="23"/>
  <c r="L102" i="23"/>
  <c r="M102" i="23"/>
  <c r="N102" i="23"/>
  <c r="O102" i="23"/>
  <c r="P102" i="23"/>
  <c r="Q102" i="23"/>
  <c r="R102" i="23"/>
  <c r="S102" i="23"/>
  <c r="H103" i="23"/>
  <c r="I103" i="23"/>
  <c r="J103" i="23"/>
  <c r="K103" i="23"/>
  <c r="L103" i="23"/>
  <c r="M103" i="23"/>
  <c r="N103" i="23"/>
  <c r="O103" i="23"/>
  <c r="P103" i="23"/>
  <c r="Q103" i="23"/>
  <c r="R103" i="23"/>
  <c r="S103" i="23"/>
  <c r="H104" i="23"/>
  <c r="I104" i="23"/>
  <c r="J104" i="23"/>
  <c r="K104" i="23"/>
  <c r="L104" i="23"/>
  <c r="M104" i="23"/>
  <c r="N104" i="23"/>
  <c r="O104" i="23"/>
  <c r="P104" i="23"/>
  <c r="Q104" i="23"/>
  <c r="R104" i="23"/>
  <c r="S104" i="23"/>
  <c r="H105" i="23"/>
  <c r="I105" i="23"/>
  <c r="J105" i="23"/>
  <c r="K105" i="23"/>
  <c r="L105" i="23"/>
  <c r="M105" i="23"/>
  <c r="N105" i="23"/>
  <c r="O105" i="23"/>
  <c r="P105" i="23"/>
  <c r="Q105" i="23"/>
  <c r="R105" i="23"/>
  <c r="S105" i="23"/>
  <c r="H106" i="23"/>
  <c r="I106" i="23"/>
  <c r="J106" i="23"/>
  <c r="K106" i="23"/>
  <c r="L106" i="23"/>
  <c r="M106" i="23"/>
  <c r="N106" i="23"/>
  <c r="O106" i="23"/>
  <c r="P106" i="23"/>
  <c r="Q106" i="23"/>
  <c r="R106" i="23"/>
  <c r="S106" i="23"/>
  <c r="H107" i="23"/>
  <c r="I107" i="23"/>
  <c r="J107" i="23"/>
  <c r="K107" i="23"/>
  <c r="L107" i="23"/>
  <c r="M107" i="23"/>
  <c r="N107" i="23"/>
  <c r="O107" i="23"/>
  <c r="P107" i="23"/>
  <c r="Q107" i="23"/>
  <c r="R107" i="23"/>
  <c r="S107" i="23"/>
  <c r="H108" i="23"/>
  <c r="I108" i="23"/>
  <c r="J108" i="23"/>
  <c r="K108" i="23"/>
  <c r="L108" i="23"/>
  <c r="M108" i="23"/>
  <c r="N108" i="23"/>
  <c r="O108" i="23"/>
  <c r="P108" i="23"/>
  <c r="Q108" i="23"/>
  <c r="R108" i="23"/>
  <c r="S108" i="23"/>
  <c r="H109" i="23"/>
  <c r="I109" i="23"/>
  <c r="J109" i="23"/>
  <c r="K109" i="23"/>
  <c r="L109" i="23"/>
  <c r="M109" i="23"/>
  <c r="N109" i="23"/>
  <c r="O109" i="23"/>
  <c r="P109" i="23"/>
  <c r="Q109" i="23"/>
  <c r="R109" i="23"/>
  <c r="S109" i="23"/>
  <c r="H110" i="23"/>
  <c r="I110" i="23"/>
  <c r="J110" i="23"/>
  <c r="K110" i="23"/>
  <c r="L110" i="23"/>
  <c r="M110" i="23"/>
  <c r="N110" i="23"/>
  <c r="O110" i="23"/>
  <c r="P110" i="23"/>
  <c r="Q110" i="23"/>
  <c r="R110" i="23"/>
  <c r="S110" i="23"/>
  <c r="H111" i="23"/>
  <c r="I111" i="23"/>
  <c r="J111" i="23"/>
  <c r="K111" i="23"/>
  <c r="L111" i="23"/>
  <c r="M111" i="23"/>
  <c r="N111" i="23"/>
  <c r="O111" i="23"/>
  <c r="P111" i="23"/>
  <c r="Q111" i="23"/>
  <c r="R111" i="23"/>
  <c r="S111" i="23"/>
  <c r="H112" i="23"/>
  <c r="I112" i="23"/>
  <c r="J112" i="23"/>
  <c r="K112" i="23"/>
  <c r="L112" i="23"/>
  <c r="M112" i="23"/>
  <c r="N112" i="23"/>
  <c r="O112" i="23"/>
  <c r="P112" i="23"/>
  <c r="Q112" i="23"/>
  <c r="R112" i="23"/>
  <c r="S112" i="23"/>
  <c r="H113" i="23"/>
  <c r="I113" i="23"/>
  <c r="J113" i="23"/>
  <c r="K113" i="23"/>
  <c r="L113" i="23"/>
  <c r="M113" i="23"/>
  <c r="N113" i="23"/>
  <c r="O113" i="23"/>
  <c r="P113" i="23"/>
  <c r="Q113" i="23"/>
  <c r="R113" i="23"/>
  <c r="S113" i="23"/>
  <c r="H114" i="23"/>
  <c r="I114" i="23"/>
  <c r="J114" i="23"/>
  <c r="K114" i="23"/>
  <c r="L114" i="23"/>
  <c r="M114" i="23"/>
  <c r="N114" i="23"/>
  <c r="O114" i="23"/>
  <c r="P114" i="23"/>
  <c r="Q114" i="23"/>
  <c r="R114" i="23"/>
  <c r="S114" i="23"/>
  <c r="H115" i="23"/>
  <c r="I115" i="23"/>
  <c r="J115" i="23"/>
  <c r="K115" i="23"/>
  <c r="L115" i="23"/>
  <c r="M115" i="23"/>
  <c r="U115" i="23" s="1"/>
  <c r="N115" i="23"/>
  <c r="O115" i="23"/>
  <c r="P115" i="23"/>
  <c r="Q115" i="23"/>
  <c r="R115" i="23"/>
  <c r="S115" i="23"/>
  <c r="H116" i="23"/>
  <c r="I116" i="23"/>
  <c r="J116" i="23"/>
  <c r="K116" i="23"/>
  <c r="L116" i="23"/>
  <c r="M116" i="23"/>
  <c r="U116" i="23" s="1"/>
  <c r="N116" i="23"/>
  <c r="O116" i="23"/>
  <c r="P116" i="23"/>
  <c r="Q116" i="23"/>
  <c r="R116" i="23"/>
  <c r="S116" i="23"/>
  <c r="H117" i="23"/>
  <c r="I117" i="23"/>
  <c r="J117" i="23"/>
  <c r="K117" i="23"/>
  <c r="L117" i="23"/>
  <c r="M117" i="23"/>
  <c r="N117" i="23"/>
  <c r="O117" i="23"/>
  <c r="P117" i="23"/>
  <c r="Q117" i="23"/>
  <c r="R117" i="23"/>
  <c r="S117" i="23"/>
  <c r="H118" i="23"/>
  <c r="I118" i="23"/>
  <c r="J118" i="23"/>
  <c r="K118" i="23"/>
  <c r="L118" i="23"/>
  <c r="M118" i="23"/>
  <c r="N118" i="23"/>
  <c r="O118" i="23"/>
  <c r="P118" i="23"/>
  <c r="Q118" i="23"/>
  <c r="R118" i="23"/>
  <c r="S118" i="23"/>
  <c r="H119" i="23"/>
  <c r="I119" i="23"/>
  <c r="J119" i="23"/>
  <c r="K119" i="23"/>
  <c r="L119" i="23"/>
  <c r="M119" i="23"/>
  <c r="N119" i="23"/>
  <c r="O119" i="23"/>
  <c r="P119" i="23"/>
  <c r="Q119" i="23"/>
  <c r="R119" i="23"/>
  <c r="S119" i="23"/>
  <c r="H120" i="23"/>
  <c r="I120" i="23"/>
  <c r="J120" i="23"/>
  <c r="K120" i="23"/>
  <c r="L120" i="23"/>
  <c r="M120" i="23"/>
  <c r="N120" i="23"/>
  <c r="O120" i="23"/>
  <c r="P120" i="23"/>
  <c r="Q120" i="23"/>
  <c r="R120" i="23"/>
  <c r="S120" i="23"/>
  <c r="H121" i="23"/>
  <c r="I121" i="23"/>
  <c r="J121" i="23"/>
  <c r="K121" i="23"/>
  <c r="L121" i="23"/>
  <c r="M121" i="23"/>
  <c r="N121" i="23"/>
  <c r="O121" i="23"/>
  <c r="P121" i="23"/>
  <c r="Q121" i="23"/>
  <c r="R121" i="23"/>
  <c r="S121" i="23"/>
  <c r="H122" i="23"/>
  <c r="I122" i="23"/>
  <c r="J122" i="23"/>
  <c r="K122" i="23"/>
  <c r="L122" i="23"/>
  <c r="M122" i="23"/>
  <c r="N122" i="23"/>
  <c r="O122" i="23"/>
  <c r="P122" i="23"/>
  <c r="Q122" i="23"/>
  <c r="R122" i="23"/>
  <c r="S122" i="23"/>
  <c r="H123" i="23"/>
  <c r="I123" i="23"/>
  <c r="J123" i="23"/>
  <c r="K123" i="23"/>
  <c r="L123" i="23"/>
  <c r="M123" i="23"/>
  <c r="N123" i="23"/>
  <c r="O123" i="23"/>
  <c r="P123" i="23"/>
  <c r="Q123" i="23"/>
  <c r="R123" i="23"/>
  <c r="S123" i="23"/>
  <c r="H124" i="23"/>
  <c r="I124" i="23"/>
  <c r="J124" i="23"/>
  <c r="K124" i="23"/>
  <c r="L124" i="23"/>
  <c r="M124" i="23"/>
  <c r="N124" i="23"/>
  <c r="O124" i="23"/>
  <c r="P124" i="23"/>
  <c r="Q124" i="23"/>
  <c r="R124" i="23"/>
  <c r="S124" i="23"/>
  <c r="H125" i="23"/>
  <c r="I125" i="23"/>
  <c r="J125" i="23"/>
  <c r="K125" i="23"/>
  <c r="L125" i="23"/>
  <c r="M125" i="23"/>
  <c r="N125" i="23"/>
  <c r="O125" i="23"/>
  <c r="P125" i="23"/>
  <c r="Q125" i="23"/>
  <c r="R125" i="23"/>
  <c r="S125" i="23"/>
  <c r="H126" i="23"/>
  <c r="I126" i="23"/>
  <c r="J126" i="23"/>
  <c r="K126" i="23"/>
  <c r="L126" i="23"/>
  <c r="M126" i="23"/>
  <c r="N126" i="23"/>
  <c r="O126" i="23"/>
  <c r="P126" i="23"/>
  <c r="Q126" i="23"/>
  <c r="R126" i="23"/>
  <c r="S126" i="23"/>
  <c r="H127" i="23"/>
  <c r="I127" i="23"/>
  <c r="J127" i="23"/>
  <c r="K127" i="23"/>
  <c r="L127" i="23"/>
  <c r="M127" i="23"/>
  <c r="N127" i="23"/>
  <c r="O127" i="23"/>
  <c r="P127" i="23"/>
  <c r="Q127" i="23"/>
  <c r="R127" i="23"/>
  <c r="S127" i="23"/>
  <c r="H128" i="23"/>
  <c r="I128" i="23"/>
  <c r="J128" i="23"/>
  <c r="K128" i="23"/>
  <c r="L128" i="23"/>
  <c r="M128" i="23"/>
  <c r="N128" i="23"/>
  <c r="O128" i="23"/>
  <c r="P128" i="23"/>
  <c r="Q128" i="23"/>
  <c r="R128" i="23"/>
  <c r="S128" i="23"/>
  <c r="H129" i="23"/>
  <c r="I129" i="23"/>
  <c r="J129" i="23"/>
  <c r="K129" i="23"/>
  <c r="L129" i="23"/>
  <c r="M129" i="23"/>
  <c r="N129" i="23"/>
  <c r="O129" i="23"/>
  <c r="P129" i="23"/>
  <c r="Q129" i="23"/>
  <c r="R129" i="23"/>
  <c r="S129" i="23"/>
  <c r="H130" i="23"/>
  <c r="I130" i="23"/>
  <c r="J130" i="23"/>
  <c r="K130" i="23"/>
  <c r="L130" i="23"/>
  <c r="M130" i="23"/>
  <c r="N130" i="23"/>
  <c r="O130" i="23"/>
  <c r="P130" i="23"/>
  <c r="Q130" i="23"/>
  <c r="R130" i="23"/>
  <c r="S130" i="23"/>
  <c r="H131" i="23"/>
  <c r="I131" i="23"/>
  <c r="J131" i="23"/>
  <c r="K131" i="23"/>
  <c r="L131" i="23"/>
  <c r="M131" i="23"/>
  <c r="N131" i="23"/>
  <c r="O131" i="23"/>
  <c r="P131" i="23"/>
  <c r="Q131" i="23"/>
  <c r="R131" i="23"/>
  <c r="S131" i="23"/>
  <c r="H132" i="23"/>
  <c r="I132" i="23"/>
  <c r="J132" i="23"/>
  <c r="K132" i="23"/>
  <c r="L132" i="23"/>
  <c r="M132" i="23"/>
  <c r="N132" i="23"/>
  <c r="O132" i="23"/>
  <c r="P132" i="23"/>
  <c r="Q132" i="23"/>
  <c r="R132" i="23"/>
  <c r="S132" i="23"/>
  <c r="H133" i="23"/>
  <c r="I133" i="23"/>
  <c r="J133" i="23"/>
  <c r="K133" i="23"/>
  <c r="L133" i="23"/>
  <c r="M133" i="23"/>
  <c r="N133" i="23"/>
  <c r="O133" i="23"/>
  <c r="P133" i="23"/>
  <c r="Q133" i="23"/>
  <c r="R133" i="23"/>
  <c r="S133" i="23"/>
  <c r="H134" i="23"/>
  <c r="I134" i="23"/>
  <c r="J134" i="23"/>
  <c r="K134" i="23"/>
  <c r="L134" i="23"/>
  <c r="M134" i="23"/>
  <c r="N134" i="23"/>
  <c r="O134" i="23"/>
  <c r="P134" i="23"/>
  <c r="Q134" i="23"/>
  <c r="R134" i="23"/>
  <c r="S134" i="23"/>
  <c r="H135" i="23"/>
  <c r="I135" i="23"/>
  <c r="J135" i="23"/>
  <c r="K135" i="23"/>
  <c r="L135" i="23"/>
  <c r="M135" i="23"/>
  <c r="N135" i="23"/>
  <c r="O135" i="23"/>
  <c r="P135" i="23"/>
  <c r="Q135" i="23"/>
  <c r="R135" i="23"/>
  <c r="S135" i="23"/>
  <c r="H136" i="23"/>
  <c r="I136" i="23"/>
  <c r="J136" i="23"/>
  <c r="K136" i="23"/>
  <c r="L136" i="23"/>
  <c r="M136" i="23"/>
  <c r="N136" i="23"/>
  <c r="O136" i="23"/>
  <c r="P136" i="23"/>
  <c r="Q136" i="23"/>
  <c r="R136" i="23"/>
  <c r="S136" i="23"/>
  <c r="H137" i="23"/>
  <c r="I137" i="23"/>
  <c r="J137" i="23"/>
  <c r="K137" i="23"/>
  <c r="L137" i="23"/>
  <c r="M137" i="23"/>
  <c r="N137" i="23"/>
  <c r="O137" i="23"/>
  <c r="P137" i="23"/>
  <c r="Q137" i="23"/>
  <c r="R137" i="23"/>
  <c r="S137" i="23"/>
  <c r="H138" i="23"/>
  <c r="I138" i="23"/>
  <c r="J138" i="23"/>
  <c r="K138" i="23"/>
  <c r="L138" i="23"/>
  <c r="M138" i="23"/>
  <c r="N138" i="23"/>
  <c r="O138" i="23"/>
  <c r="P138" i="23"/>
  <c r="Q138" i="23"/>
  <c r="R138" i="23"/>
  <c r="S138" i="23"/>
  <c r="H139" i="23"/>
  <c r="I139" i="23"/>
  <c r="J139" i="23"/>
  <c r="K139" i="23"/>
  <c r="L139" i="23"/>
  <c r="M139" i="23"/>
  <c r="N139" i="23"/>
  <c r="O139" i="23"/>
  <c r="P139" i="23"/>
  <c r="Q139" i="23"/>
  <c r="R139" i="23"/>
  <c r="S139" i="23"/>
  <c r="H140" i="23"/>
  <c r="I140" i="23"/>
  <c r="J140" i="23"/>
  <c r="K140" i="23"/>
  <c r="L140" i="23"/>
  <c r="M140" i="23"/>
  <c r="N140" i="23"/>
  <c r="O140" i="23"/>
  <c r="P140" i="23"/>
  <c r="Q140" i="23"/>
  <c r="R140" i="23"/>
  <c r="S140" i="23"/>
  <c r="H141" i="23"/>
  <c r="I141" i="23"/>
  <c r="J141" i="23"/>
  <c r="K141" i="23"/>
  <c r="L141" i="23"/>
  <c r="M141" i="23"/>
  <c r="N141" i="23"/>
  <c r="O141" i="23"/>
  <c r="P141" i="23"/>
  <c r="Q141" i="23"/>
  <c r="R141" i="23"/>
  <c r="S141" i="23"/>
  <c r="H142" i="23"/>
  <c r="I142" i="23"/>
  <c r="J142" i="23"/>
  <c r="K142" i="23"/>
  <c r="L142" i="23"/>
  <c r="M142" i="23"/>
  <c r="N142" i="23"/>
  <c r="O142" i="23"/>
  <c r="P142" i="23"/>
  <c r="Q142" i="23"/>
  <c r="R142" i="23"/>
  <c r="S142" i="23"/>
  <c r="H143" i="23"/>
  <c r="I143" i="23"/>
  <c r="J143" i="23"/>
  <c r="K143" i="23"/>
  <c r="L143" i="23"/>
  <c r="M143" i="23"/>
  <c r="N143" i="23"/>
  <c r="O143" i="23"/>
  <c r="P143" i="23"/>
  <c r="Q143" i="23"/>
  <c r="R143" i="23"/>
  <c r="S143" i="23"/>
  <c r="H144" i="23"/>
  <c r="I144" i="23"/>
  <c r="J144" i="23"/>
  <c r="K144" i="23"/>
  <c r="L144" i="23"/>
  <c r="M144" i="23"/>
  <c r="N144" i="23"/>
  <c r="O144" i="23"/>
  <c r="P144" i="23"/>
  <c r="Q144" i="23"/>
  <c r="R144" i="23"/>
  <c r="S144" i="23"/>
  <c r="H145" i="23"/>
  <c r="I145" i="23"/>
  <c r="J145" i="23"/>
  <c r="K145" i="23"/>
  <c r="L145" i="23"/>
  <c r="M145" i="23"/>
  <c r="N145" i="23"/>
  <c r="O145" i="23"/>
  <c r="P145" i="23"/>
  <c r="Q145" i="23"/>
  <c r="R145" i="23"/>
  <c r="S145" i="23"/>
  <c r="H146" i="23"/>
  <c r="I146" i="23"/>
  <c r="J146" i="23"/>
  <c r="K146" i="23"/>
  <c r="L146" i="23"/>
  <c r="M146" i="23"/>
  <c r="N146" i="23"/>
  <c r="O146" i="23"/>
  <c r="P146" i="23"/>
  <c r="Q146" i="23"/>
  <c r="R146" i="23"/>
  <c r="S146" i="23"/>
  <c r="H147" i="23"/>
  <c r="I147" i="23"/>
  <c r="J147" i="23"/>
  <c r="K147" i="23"/>
  <c r="L147" i="23"/>
  <c r="M147" i="23"/>
  <c r="N147" i="23"/>
  <c r="O147" i="23"/>
  <c r="P147" i="23"/>
  <c r="Q147" i="23"/>
  <c r="R147" i="23"/>
  <c r="S147" i="23"/>
  <c r="H148" i="23"/>
  <c r="I148" i="23"/>
  <c r="J148" i="23"/>
  <c r="K148" i="23"/>
  <c r="L148" i="23"/>
  <c r="M148" i="23"/>
  <c r="N148" i="23"/>
  <c r="O148" i="23"/>
  <c r="P148" i="23"/>
  <c r="Q148" i="23"/>
  <c r="R148" i="23"/>
  <c r="S148" i="23"/>
  <c r="H149" i="23"/>
  <c r="I149" i="23"/>
  <c r="J149" i="23"/>
  <c r="K149" i="23"/>
  <c r="L149" i="23"/>
  <c r="M149" i="23"/>
  <c r="N149" i="23"/>
  <c r="O149" i="23"/>
  <c r="P149" i="23"/>
  <c r="Q149" i="23"/>
  <c r="R149" i="23"/>
  <c r="S149" i="23"/>
  <c r="H150" i="23"/>
  <c r="I150" i="23"/>
  <c r="J150" i="23"/>
  <c r="K150" i="23"/>
  <c r="L150" i="23"/>
  <c r="M150" i="23"/>
  <c r="U150" i="23" s="1"/>
  <c r="N150" i="23"/>
  <c r="O150" i="23"/>
  <c r="P150" i="23"/>
  <c r="Q150" i="23"/>
  <c r="R150" i="23"/>
  <c r="S150" i="23"/>
  <c r="H151" i="23"/>
  <c r="I151" i="23"/>
  <c r="J151" i="23"/>
  <c r="K151" i="23"/>
  <c r="L151" i="23"/>
  <c r="M151" i="23"/>
  <c r="U151" i="23" s="1"/>
  <c r="N151" i="23"/>
  <c r="O151" i="23"/>
  <c r="P151" i="23"/>
  <c r="Q151" i="23"/>
  <c r="R151" i="23"/>
  <c r="S151" i="23"/>
  <c r="H152" i="23"/>
  <c r="I152" i="23"/>
  <c r="J152" i="23"/>
  <c r="K152" i="23"/>
  <c r="L152" i="23"/>
  <c r="M152" i="23"/>
  <c r="N152" i="23"/>
  <c r="O152" i="23"/>
  <c r="P152" i="23"/>
  <c r="Q152" i="23"/>
  <c r="R152" i="23"/>
  <c r="S152" i="23"/>
  <c r="H153" i="23"/>
  <c r="I153" i="23"/>
  <c r="J153" i="23"/>
  <c r="K153" i="23"/>
  <c r="L153" i="23"/>
  <c r="M153" i="23"/>
  <c r="N153" i="23"/>
  <c r="O153" i="23"/>
  <c r="P153" i="23"/>
  <c r="Q153" i="23"/>
  <c r="R153" i="23"/>
  <c r="S153" i="23"/>
  <c r="H154" i="23"/>
  <c r="I154" i="23"/>
  <c r="J154" i="23"/>
  <c r="K154" i="23"/>
  <c r="L154" i="23"/>
  <c r="M154" i="23"/>
  <c r="N154" i="23"/>
  <c r="O154" i="23"/>
  <c r="P154" i="23"/>
  <c r="Q154" i="23"/>
  <c r="R154" i="23"/>
  <c r="S154" i="23"/>
  <c r="H155" i="23"/>
  <c r="I155" i="23"/>
  <c r="J155" i="23"/>
  <c r="K155" i="23"/>
  <c r="L155" i="23"/>
  <c r="M155" i="23"/>
  <c r="N155" i="23"/>
  <c r="O155" i="23"/>
  <c r="P155" i="23"/>
  <c r="Q155" i="23"/>
  <c r="R155" i="23"/>
  <c r="S155" i="23"/>
  <c r="H156" i="23"/>
  <c r="I156" i="23"/>
  <c r="J156" i="23"/>
  <c r="K156" i="23"/>
  <c r="L156" i="23"/>
  <c r="M156" i="23"/>
  <c r="N156" i="23"/>
  <c r="O156" i="23"/>
  <c r="P156" i="23"/>
  <c r="Q156" i="23"/>
  <c r="R156" i="23"/>
  <c r="S156" i="23"/>
  <c r="H157" i="23"/>
  <c r="I157" i="23"/>
  <c r="J157" i="23"/>
  <c r="K157" i="23"/>
  <c r="L157" i="23"/>
  <c r="M157" i="23"/>
  <c r="N157" i="23"/>
  <c r="O157" i="23"/>
  <c r="P157" i="23"/>
  <c r="Q157" i="23"/>
  <c r="R157" i="23"/>
  <c r="S157" i="23"/>
  <c r="H158" i="23"/>
  <c r="I158" i="23"/>
  <c r="J158" i="23"/>
  <c r="K158" i="23"/>
  <c r="L158" i="23"/>
  <c r="M158" i="23"/>
  <c r="N158" i="23"/>
  <c r="O158" i="23"/>
  <c r="P158" i="23"/>
  <c r="Q158" i="23"/>
  <c r="R158" i="23"/>
  <c r="S158" i="23"/>
  <c r="H159" i="23"/>
  <c r="I159" i="23"/>
  <c r="J159" i="23"/>
  <c r="K159" i="23"/>
  <c r="L159" i="23"/>
  <c r="M159" i="23"/>
  <c r="N159" i="23"/>
  <c r="O159" i="23"/>
  <c r="P159" i="23"/>
  <c r="Q159" i="23"/>
  <c r="R159" i="23"/>
  <c r="S159" i="23"/>
  <c r="H160" i="23"/>
  <c r="I160" i="23"/>
  <c r="J160" i="23"/>
  <c r="K160" i="23"/>
  <c r="L160" i="23"/>
  <c r="M160" i="23"/>
  <c r="N160" i="23"/>
  <c r="O160" i="23"/>
  <c r="P160" i="23"/>
  <c r="Q160" i="23"/>
  <c r="R160" i="23"/>
  <c r="S160" i="23"/>
  <c r="H161" i="23"/>
  <c r="I161" i="23"/>
  <c r="J161" i="23"/>
  <c r="K161" i="23"/>
  <c r="L161" i="23"/>
  <c r="M161" i="23"/>
  <c r="N161" i="23"/>
  <c r="O161" i="23"/>
  <c r="P161" i="23"/>
  <c r="Q161" i="23"/>
  <c r="R161" i="23"/>
  <c r="S161" i="23"/>
  <c r="H162" i="23"/>
  <c r="I162" i="23"/>
  <c r="J162" i="23"/>
  <c r="K162" i="23"/>
  <c r="L162" i="23"/>
  <c r="M162" i="23"/>
  <c r="N162" i="23"/>
  <c r="O162" i="23"/>
  <c r="P162" i="23"/>
  <c r="Q162" i="23"/>
  <c r="R162" i="23"/>
  <c r="S162" i="23"/>
  <c r="H163" i="23"/>
  <c r="I163" i="23"/>
  <c r="J163" i="23"/>
  <c r="K163" i="23"/>
  <c r="L163" i="23"/>
  <c r="M163" i="23"/>
  <c r="N163" i="23"/>
  <c r="O163" i="23"/>
  <c r="P163" i="23"/>
  <c r="Q163" i="23"/>
  <c r="R163" i="23"/>
  <c r="S163" i="23"/>
  <c r="H164" i="23"/>
  <c r="I164" i="23"/>
  <c r="J164" i="23"/>
  <c r="K164" i="23"/>
  <c r="L164" i="23"/>
  <c r="M164" i="23"/>
  <c r="N164" i="23"/>
  <c r="O164" i="23"/>
  <c r="P164" i="23"/>
  <c r="Q164" i="23"/>
  <c r="R164" i="23"/>
  <c r="S164" i="23"/>
  <c r="H165" i="23"/>
  <c r="I165" i="23"/>
  <c r="J165" i="23"/>
  <c r="K165" i="23"/>
  <c r="L165" i="23"/>
  <c r="M165" i="23"/>
  <c r="N165" i="23"/>
  <c r="O165" i="23"/>
  <c r="P165" i="23"/>
  <c r="Q165" i="23"/>
  <c r="R165" i="23"/>
  <c r="S165" i="23"/>
  <c r="H166" i="23"/>
  <c r="I166" i="23"/>
  <c r="J166" i="23"/>
  <c r="K166" i="23"/>
  <c r="L166" i="23"/>
  <c r="M166" i="23"/>
  <c r="N166" i="23"/>
  <c r="O166" i="23"/>
  <c r="P166" i="23"/>
  <c r="Q166" i="23"/>
  <c r="R166" i="23"/>
  <c r="S166" i="23"/>
  <c r="H167" i="23"/>
  <c r="I167" i="23"/>
  <c r="J167" i="23"/>
  <c r="K167" i="23"/>
  <c r="L167" i="23"/>
  <c r="M167" i="23"/>
  <c r="N167" i="23"/>
  <c r="O167" i="23"/>
  <c r="P167" i="23"/>
  <c r="Q167" i="23"/>
  <c r="R167" i="23"/>
  <c r="S167" i="23"/>
  <c r="H168" i="23"/>
  <c r="I168" i="23"/>
  <c r="J168" i="23"/>
  <c r="K168" i="23"/>
  <c r="L168" i="23"/>
  <c r="M168" i="23"/>
  <c r="N168" i="23"/>
  <c r="O168" i="23"/>
  <c r="P168" i="23"/>
  <c r="Q168" i="23"/>
  <c r="R168" i="23"/>
  <c r="S168" i="23"/>
  <c r="H169" i="23"/>
  <c r="I169" i="23"/>
  <c r="J169" i="23"/>
  <c r="K169" i="23"/>
  <c r="L169" i="23"/>
  <c r="M169" i="23"/>
  <c r="N169" i="23"/>
  <c r="O169" i="23"/>
  <c r="P169" i="23"/>
  <c r="Q169" i="23"/>
  <c r="R169" i="23"/>
  <c r="S169" i="23"/>
  <c r="H170" i="23"/>
  <c r="I170" i="23"/>
  <c r="J170" i="23"/>
  <c r="K170" i="23"/>
  <c r="L170" i="23"/>
  <c r="M170" i="23"/>
  <c r="N170" i="23"/>
  <c r="O170" i="23"/>
  <c r="P170" i="23"/>
  <c r="Q170" i="23"/>
  <c r="R170" i="23"/>
  <c r="S170" i="23"/>
  <c r="H171" i="23"/>
  <c r="I171" i="23"/>
  <c r="J171" i="23"/>
  <c r="K171" i="23"/>
  <c r="L171" i="23"/>
  <c r="M171" i="23"/>
  <c r="N171" i="23"/>
  <c r="O171" i="23"/>
  <c r="P171" i="23"/>
  <c r="Q171" i="23"/>
  <c r="R171" i="23"/>
  <c r="S171" i="23"/>
  <c r="H172" i="23"/>
  <c r="I172" i="23"/>
  <c r="J172" i="23"/>
  <c r="K172" i="23"/>
  <c r="L172" i="23"/>
  <c r="M172" i="23"/>
  <c r="N172" i="23"/>
  <c r="O172" i="23"/>
  <c r="P172" i="23"/>
  <c r="Q172" i="23"/>
  <c r="R172" i="23"/>
  <c r="S172" i="23"/>
  <c r="H173" i="23"/>
  <c r="I173" i="23"/>
  <c r="J173" i="23"/>
  <c r="K173" i="23"/>
  <c r="L173" i="23"/>
  <c r="M173" i="23"/>
  <c r="N173" i="23"/>
  <c r="O173" i="23"/>
  <c r="P173" i="23"/>
  <c r="Q173" i="23"/>
  <c r="R173" i="23"/>
  <c r="S173" i="23"/>
  <c r="H174" i="23"/>
  <c r="I174" i="23"/>
  <c r="J174" i="23"/>
  <c r="K174" i="23"/>
  <c r="L174" i="23"/>
  <c r="M174" i="23"/>
  <c r="N174" i="23"/>
  <c r="O174" i="23"/>
  <c r="P174" i="23"/>
  <c r="Q174" i="23"/>
  <c r="R174" i="23"/>
  <c r="S174" i="23"/>
  <c r="H175" i="23"/>
  <c r="I175" i="23"/>
  <c r="J175" i="23"/>
  <c r="K175" i="23"/>
  <c r="L175" i="23"/>
  <c r="M175" i="23"/>
  <c r="N175" i="23"/>
  <c r="O175" i="23"/>
  <c r="P175" i="23"/>
  <c r="Q175" i="23"/>
  <c r="R175" i="23"/>
  <c r="S175" i="23"/>
  <c r="H176" i="23"/>
  <c r="I176" i="23"/>
  <c r="J176" i="23"/>
  <c r="K176" i="23"/>
  <c r="L176" i="23"/>
  <c r="M176" i="23"/>
  <c r="N176" i="23"/>
  <c r="O176" i="23"/>
  <c r="P176" i="23"/>
  <c r="Q176" i="23"/>
  <c r="R176" i="23"/>
  <c r="S176" i="23"/>
  <c r="H177" i="23"/>
  <c r="I177" i="23"/>
  <c r="J177" i="23"/>
  <c r="K177" i="23"/>
  <c r="L177" i="23"/>
  <c r="M177" i="23"/>
  <c r="N177" i="23"/>
  <c r="O177" i="23"/>
  <c r="P177" i="23"/>
  <c r="Q177" i="23"/>
  <c r="R177" i="23"/>
  <c r="S177" i="23"/>
  <c r="H178" i="23"/>
  <c r="I178" i="23"/>
  <c r="J178" i="23"/>
  <c r="K178" i="23"/>
  <c r="L178" i="23"/>
  <c r="M178" i="23"/>
  <c r="N178" i="23"/>
  <c r="O178" i="23"/>
  <c r="P178" i="23"/>
  <c r="Q178" i="23"/>
  <c r="R178" i="23"/>
  <c r="S178" i="23"/>
  <c r="H179" i="23"/>
  <c r="I179" i="23"/>
  <c r="J179" i="23"/>
  <c r="K179" i="23"/>
  <c r="L179" i="23"/>
  <c r="M179" i="23"/>
  <c r="N179" i="23"/>
  <c r="O179" i="23"/>
  <c r="P179" i="23"/>
  <c r="Q179" i="23"/>
  <c r="R179" i="23"/>
  <c r="S179" i="23"/>
  <c r="H180" i="23"/>
  <c r="I180" i="23"/>
  <c r="J180" i="23"/>
  <c r="K180" i="23"/>
  <c r="L180" i="23"/>
  <c r="M180" i="23"/>
  <c r="N180" i="23"/>
  <c r="O180" i="23"/>
  <c r="P180" i="23"/>
  <c r="Q180" i="23"/>
  <c r="R180" i="23"/>
  <c r="S180" i="23"/>
  <c r="H181" i="23"/>
  <c r="I181" i="23"/>
  <c r="J181" i="23"/>
  <c r="K181" i="23"/>
  <c r="L181" i="23"/>
  <c r="M181" i="23"/>
  <c r="N181" i="23"/>
  <c r="O181" i="23"/>
  <c r="P181" i="23"/>
  <c r="Q181" i="23"/>
  <c r="R181" i="23"/>
  <c r="S181" i="23"/>
  <c r="H182" i="23"/>
  <c r="I182" i="23"/>
  <c r="J182" i="23"/>
  <c r="K182" i="23"/>
  <c r="L182" i="23"/>
  <c r="M182" i="23"/>
  <c r="N182" i="23"/>
  <c r="O182" i="23"/>
  <c r="P182" i="23"/>
  <c r="Q182" i="23"/>
  <c r="R182" i="23"/>
  <c r="S182" i="23"/>
  <c r="H183" i="23"/>
  <c r="I183" i="23"/>
  <c r="J183" i="23"/>
  <c r="K183" i="23"/>
  <c r="L183" i="23"/>
  <c r="M183" i="23"/>
  <c r="N183" i="23"/>
  <c r="O183" i="23"/>
  <c r="P183" i="23"/>
  <c r="Q183" i="23"/>
  <c r="R183" i="23"/>
  <c r="S183" i="23"/>
  <c r="H184" i="23"/>
  <c r="I184" i="23"/>
  <c r="J184" i="23"/>
  <c r="K184" i="23"/>
  <c r="L184" i="23"/>
  <c r="M184" i="23"/>
  <c r="N184" i="23"/>
  <c r="O184" i="23"/>
  <c r="P184" i="23"/>
  <c r="Q184" i="23"/>
  <c r="R184" i="23"/>
  <c r="S184" i="23"/>
  <c r="H185" i="23"/>
  <c r="I185" i="23"/>
  <c r="J185" i="23"/>
  <c r="K185" i="23"/>
  <c r="L185" i="23"/>
  <c r="M185" i="23"/>
  <c r="U185" i="23" s="1"/>
  <c r="N185" i="23"/>
  <c r="O185" i="23"/>
  <c r="P185" i="23"/>
  <c r="Q185" i="23"/>
  <c r="R185" i="23"/>
  <c r="S185" i="23"/>
  <c r="H186" i="23"/>
  <c r="I186" i="23"/>
  <c r="J186" i="23"/>
  <c r="K186" i="23"/>
  <c r="L186" i="23"/>
  <c r="M186" i="23"/>
  <c r="U186" i="23" s="1"/>
  <c r="N186" i="23"/>
  <c r="O186" i="23"/>
  <c r="P186" i="23"/>
  <c r="Q186" i="23"/>
  <c r="R186" i="23"/>
  <c r="S186" i="23"/>
  <c r="H187" i="23"/>
  <c r="I187" i="23"/>
  <c r="J187" i="23"/>
  <c r="K187" i="23"/>
  <c r="L187" i="23"/>
  <c r="M187" i="23"/>
  <c r="N187" i="23"/>
  <c r="O187" i="23"/>
  <c r="P187" i="23"/>
  <c r="Q187" i="23"/>
  <c r="R187" i="23"/>
  <c r="S187" i="23"/>
  <c r="H188" i="23"/>
  <c r="I188" i="23"/>
  <c r="J188" i="23"/>
  <c r="K188" i="23"/>
  <c r="L188" i="23"/>
  <c r="M188" i="23"/>
  <c r="N188" i="23"/>
  <c r="O188" i="23"/>
  <c r="P188" i="23"/>
  <c r="Q188" i="23"/>
  <c r="R188" i="23"/>
  <c r="S188" i="23"/>
  <c r="H189" i="23"/>
  <c r="I189" i="23"/>
  <c r="J189" i="23"/>
  <c r="K189" i="23"/>
  <c r="L189" i="23"/>
  <c r="M189" i="23"/>
  <c r="N189" i="23"/>
  <c r="O189" i="23"/>
  <c r="P189" i="23"/>
  <c r="Q189" i="23"/>
  <c r="R189" i="23"/>
  <c r="S189" i="23"/>
  <c r="H190" i="23"/>
  <c r="I190" i="23"/>
  <c r="J190" i="23"/>
  <c r="K190" i="23"/>
  <c r="L190" i="23"/>
  <c r="M190" i="23"/>
  <c r="N190" i="23"/>
  <c r="O190" i="23"/>
  <c r="P190" i="23"/>
  <c r="Q190" i="23"/>
  <c r="R190" i="23"/>
  <c r="S190" i="23"/>
  <c r="H191" i="23"/>
  <c r="I191" i="23"/>
  <c r="J191" i="23"/>
  <c r="K191" i="23"/>
  <c r="L191" i="23"/>
  <c r="M191" i="23"/>
  <c r="N191" i="23"/>
  <c r="O191" i="23"/>
  <c r="P191" i="23"/>
  <c r="Q191" i="23"/>
  <c r="R191" i="23"/>
  <c r="S191" i="23"/>
  <c r="H192" i="23"/>
  <c r="I192" i="23"/>
  <c r="J192" i="23"/>
  <c r="K192" i="23"/>
  <c r="L192" i="23"/>
  <c r="M192" i="23"/>
  <c r="N192" i="23"/>
  <c r="O192" i="23"/>
  <c r="P192" i="23"/>
  <c r="Q192" i="23"/>
  <c r="R192" i="23"/>
  <c r="S192" i="23"/>
  <c r="H193" i="23"/>
  <c r="I193" i="23"/>
  <c r="J193" i="23"/>
  <c r="K193" i="23"/>
  <c r="L193" i="23"/>
  <c r="M193" i="23"/>
  <c r="N193" i="23"/>
  <c r="O193" i="23"/>
  <c r="P193" i="23"/>
  <c r="Q193" i="23"/>
  <c r="R193" i="23"/>
  <c r="S193" i="23"/>
  <c r="H194" i="23"/>
  <c r="I194" i="23"/>
  <c r="J194" i="23"/>
  <c r="K194" i="23"/>
  <c r="L194" i="23"/>
  <c r="M194" i="23"/>
  <c r="N194" i="23"/>
  <c r="O194" i="23"/>
  <c r="P194" i="23"/>
  <c r="Q194" i="23"/>
  <c r="R194" i="23"/>
  <c r="S194" i="23"/>
  <c r="H195" i="23"/>
  <c r="I195" i="23"/>
  <c r="J195" i="23"/>
  <c r="K195" i="23"/>
  <c r="L195" i="23"/>
  <c r="M195" i="23"/>
  <c r="N195" i="23"/>
  <c r="O195" i="23"/>
  <c r="P195" i="23"/>
  <c r="Q195" i="23"/>
  <c r="R195" i="23"/>
  <c r="S195" i="23"/>
  <c r="H196" i="23"/>
  <c r="I196" i="23"/>
  <c r="J196" i="23"/>
  <c r="K196" i="23"/>
  <c r="L196" i="23"/>
  <c r="M196" i="23"/>
  <c r="N196" i="23"/>
  <c r="O196" i="23"/>
  <c r="P196" i="23"/>
  <c r="Q196" i="23"/>
  <c r="R196" i="23"/>
  <c r="S196" i="23"/>
  <c r="H197" i="23"/>
  <c r="I197" i="23"/>
  <c r="J197" i="23"/>
  <c r="K197" i="23"/>
  <c r="L197" i="23"/>
  <c r="M197" i="23"/>
  <c r="N197" i="23"/>
  <c r="O197" i="23"/>
  <c r="P197" i="23"/>
  <c r="Q197" i="23"/>
  <c r="R197" i="23"/>
  <c r="S197" i="23"/>
  <c r="H198" i="23"/>
  <c r="I198" i="23"/>
  <c r="J198" i="23"/>
  <c r="K198" i="23"/>
  <c r="L198" i="23"/>
  <c r="M198" i="23"/>
  <c r="N198" i="23"/>
  <c r="O198" i="23"/>
  <c r="P198" i="23"/>
  <c r="Q198" i="23"/>
  <c r="R198" i="23"/>
  <c r="S198" i="23"/>
  <c r="H199" i="23"/>
  <c r="I199" i="23"/>
  <c r="J199" i="23"/>
  <c r="K199" i="23"/>
  <c r="L199" i="23"/>
  <c r="M199" i="23"/>
  <c r="N199" i="23"/>
  <c r="O199" i="23"/>
  <c r="P199" i="23"/>
  <c r="Q199" i="23"/>
  <c r="R199" i="23"/>
  <c r="S199" i="23"/>
  <c r="H200" i="23"/>
  <c r="I200" i="23"/>
  <c r="J200" i="23"/>
  <c r="K200" i="23"/>
  <c r="L200" i="23"/>
  <c r="M200" i="23"/>
  <c r="N200" i="23"/>
  <c r="O200" i="23"/>
  <c r="P200" i="23"/>
  <c r="Q200" i="23"/>
  <c r="R200" i="23"/>
  <c r="S200" i="23"/>
  <c r="H201" i="23"/>
  <c r="I201" i="23"/>
  <c r="J201" i="23"/>
  <c r="K201" i="23"/>
  <c r="L201" i="23"/>
  <c r="M201" i="23"/>
  <c r="N201" i="23"/>
  <c r="O201" i="23"/>
  <c r="P201" i="23"/>
  <c r="Q201" i="23"/>
  <c r="R201" i="23"/>
  <c r="S201" i="23"/>
  <c r="H202" i="23"/>
  <c r="I202" i="23"/>
  <c r="J202" i="23"/>
  <c r="K202" i="23"/>
  <c r="L202" i="23"/>
  <c r="M202" i="23"/>
  <c r="N202" i="23"/>
  <c r="O202" i="23"/>
  <c r="P202" i="23"/>
  <c r="Q202" i="23"/>
  <c r="R202" i="23"/>
  <c r="S202" i="23"/>
  <c r="H203" i="23"/>
  <c r="I203" i="23"/>
  <c r="J203" i="23"/>
  <c r="K203" i="23"/>
  <c r="L203" i="23"/>
  <c r="M203" i="23"/>
  <c r="N203" i="23"/>
  <c r="O203" i="23"/>
  <c r="P203" i="23"/>
  <c r="Q203" i="23"/>
  <c r="R203" i="23"/>
  <c r="S203" i="23"/>
  <c r="H204" i="23"/>
  <c r="I204" i="23"/>
  <c r="J204" i="23"/>
  <c r="K204" i="23"/>
  <c r="L204" i="23"/>
  <c r="M204" i="23"/>
  <c r="N204" i="23"/>
  <c r="O204" i="23"/>
  <c r="P204" i="23"/>
  <c r="Q204" i="23"/>
  <c r="R204" i="23"/>
  <c r="S204" i="23"/>
  <c r="H205" i="23"/>
  <c r="I205" i="23"/>
  <c r="J205" i="23"/>
  <c r="K205" i="23"/>
  <c r="L205" i="23"/>
  <c r="M205" i="23"/>
  <c r="N205" i="23"/>
  <c r="O205" i="23"/>
  <c r="P205" i="23"/>
  <c r="Q205" i="23"/>
  <c r="R205" i="23"/>
  <c r="S205" i="23"/>
  <c r="H206" i="23"/>
  <c r="I206" i="23"/>
  <c r="J206" i="23"/>
  <c r="K206" i="23"/>
  <c r="L206" i="23"/>
  <c r="M206" i="23"/>
  <c r="N206" i="23"/>
  <c r="O206" i="23"/>
  <c r="P206" i="23"/>
  <c r="Q206" i="23"/>
  <c r="R206" i="23"/>
  <c r="S206" i="23"/>
  <c r="H207" i="23"/>
  <c r="I207" i="23"/>
  <c r="J207" i="23"/>
  <c r="K207" i="23"/>
  <c r="L207" i="23"/>
  <c r="M207" i="23"/>
  <c r="N207" i="23"/>
  <c r="O207" i="23"/>
  <c r="P207" i="23"/>
  <c r="Q207" i="23"/>
  <c r="R207" i="23"/>
  <c r="S207" i="23"/>
  <c r="H208" i="23"/>
  <c r="I208" i="23"/>
  <c r="J208" i="23"/>
  <c r="K208" i="23"/>
  <c r="L208" i="23"/>
  <c r="M208" i="23"/>
  <c r="N208" i="23"/>
  <c r="O208" i="23"/>
  <c r="P208" i="23"/>
  <c r="Q208" i="23"/>
  <c r="R208" i="23"/>
  <c r="S208" i="23"/>
  <c r="H210" i="23"/>
  <c r="I210" i="23"/>
  <c r="J210" i="23"/>
  <c r="K210" i="23"/>
  <c r="L210" i="23"/>
  <c r="M210" i="23"/>
  <c r="N210" i="23"/>
  <c r="O210" i="23"/>
  <c r="P210" i="23"/>
  <c r="Q210" i="23"/>
  <c r="R210" i="23"/>
  <c r="S210" i="23"/>
  <c r="H211" i="23"/>
  <c r="I211" i="23"/>
  <c r="J211" i="23"/>
  <c r="K211" i="23"/>
  <c r="L211" i="23"/>
  <c r="M211" i="23"/>
  <c r="N211" i="23"/>
  <c r="O211" i="23"/>
  <c r="P211" i="23"/>
  <c r="Q211" i="23"/>
  <c r="R211" i="23"/>
  <c r="S211" i="23"/>
  <c r="H212" i="23"/>
  <c r="I212" i="23"/>
  <c r="J212" i="23"/>
  <c r="K212" i="23"/>
  <c r="L212" i="23"/>
  <c r="M212" i="23"/>
  <c r="U212" i="23" s="1"/>
  <c r="N212" i="23"/>
  <c r="O212" i="23"/>
  <c r="P212" i="23"/>
  <c r="Q212" i="23"/>
  <c r="R212" i="23"/>
  <c r="S212" i="23"/>
  <c r="H213" i="23"/>
  <c r="I213" i="23"/>
  <c r="J213" i="23"/>
  <c r="K213" i="23"/>
  <c r="L213" i="23"/>
  <c r="M213" i="23"/>
  <c r="N213" i="23"/>
  <c r="O213" i="23"/>
  <c r="P213" i="23"/>
  <c r="Q213" i="23"/>
  <c r="R213" i="23"/>
  <c r="S213" i="23"/>
  <c r="H215" i="23"/>
  <c r="I215" i="23"/>
  <c r="J215" i="23"/>
  <c r="K215" i="23"/>
  <c r="L215" i="23"/>
  <c r="M215" i="23"/>
  <c r="N215" i="23"/>
  <c r="O215" i="23"/>
  <c r="P215" i="23"/>
  <c r="Q215" i="23"/>
  <c r="R215" i="23"/>
  <c r="S215" i="23"/>
  <c r="H216" i="23"/>
  <c r="I216" i="23"/>
  <c r="J216" i="23"/>
  <c r="K216" i="23"/>
  <c r="L216" i="23"/>
  <c r="M216" i="23"/>
  <c r="N216" i="23"/>
  <c r="O216" i="23"/>
  <c r="P216" i="23"/>
  <c r="Q216" i="23"/>
  <c r="R216" i="23"/>
  <c r="S216" i="23"/>
  <c r="H217" i="23"/>
  <c r="I217" i="23"/>
  <c r="J217" i="23"/>
  <c r="K217" i="23"/>
  <c r="L217" i="23"/>
  <c r="M217" i="23"/>
  <c r="N217" i="23"/>
  <c r="O217" i="23"/>
  <c r="P217" i="23"/>
  <c r="Q217" i="23"/>
  <c r="R217" i="23"/>
  <c r="S217" i="23"/>
  <c r="H218" i="23"/>
  <c r="I218" i="23"/>
  <c r="J218" i="23"/>
  <c r="K218" i="23"/>
  <c r="L218" i="23"/>
  <c r="M218" i="23"/>
  <c r="N218" i="23"/>
  <c r="O218" i="23"/>
  <c r="P218" i="23"/>
  <c r="Q218" i="23"/>
  <c r="R218" i="23"/>
  <c r="S218" i="23"/>
  <c r="H219" i="23"/>
  <c r="I219" i="23"/>
  <c r="J219" i="23"/>
  <c r="K219" i="23"/>
  <c r="L219" i="23"/>
  <c r="M219" i="23"/>
  <c r="N219" i="23"/>
  <c r="O219" i="23"/>
  <c r="P219" i="23"/>
  <c r="Q219" i="23"/>
  <c r="R219" i="23"/>
  <c r="S219" i="23"/>
  <c r="H220" i="23"/>
  <c r="I220" i="23"/>
  <c r="J220" i="23"/>
  <c r="K220" i="23"/>
  <c r="L220" i="23"/>
  <c r="M220" i="23"/>
  <c r="N220" i="23"/>
  <c r="O220" i="23"/>
  <c r="P220" i="23"/>
  <c r="Q220" i="23"/>
  <c r="R220" i="23"/>
  <c r="S220" i="23"/>
  <c r="H221" i="23"/>
  <c r="I221" i="23"/>
  <c r="J221" i="23"/>
  <c r="K221" i="23"/>
  <c r="L221" i="23"/>
  <c r="M221" i="23"/>
  <c r="N221" i="23"/>
  <c r="O221" i="23"/>
  <c r="P221" i="23"/>
  <c r="Q221" i="23"/>
  <c r="R221" i="23"/>
  <c r="S221" i="23"/>
  <c r="H222" i="23"/>
  <c r="I222" i="23"/>
  <c r="J222" i="23"/>
  <c r="K222" i="23"/>
  <c r="L222" i="23"/>
  <c r="M222" i="23"/>
  <c r="N222" i="23"/>
  <c r="O222" i="23"/>
  <c r="P222" i="23"/>
  <c r="Q222" i="23"/>
  <c r="R222" i="23"/>
  <c r="S222" i="23"/>
  <c r="H223" i="23"/>
  <c r="I223" i="23"/>
  <c r="J223" i="23"/>
  <c r="K223" i="23"/>
  <c r="L223" i="23"/>
  <c r="M223" i="23"/>
  <c r="N223" i="23"/>
  <c r="O223" i="23"/>
  <c r="P223" i="23"/>
  <c r="Q223" i="23"/>
  <c r="R223" i="23"/>
  <c r="S223" i="23"/>
  <c r="H224" i="23"/>
  <c r="I224" i="23"/>
  <c r="J224" i="23"/>
  <c r="K224" i="23"/>
  <c r="L224" i="23"/>
  <c r="M224" i="23"/>
  <c r="N224" i="23"/>
  <c r="O224" i="23"/>
  <c r="P224" i="23"/>
  <c r="Q224" i="23"/>
  <c r="R224" i="23"/>
  <c r="S224" i="23"/>
  <c r="H225" i="23"/>
  <c r="I225" i="23"/>
  <c r="J225" i="23"/>
  <c r="K225" i="23"/>
  <c r="L225" i="23"/>
  <c r="M225" i="23"/>
  <c r="N225" i="23"/>
  <c r="O225" i="23"/>
  <c r="P225" i="23"/>
  <c r="Q225" i="23"/>
  <c r="R225" i="23"/>
  <c r="S225" i="23"/>
  <c r="H226" i="23"/>
  <c r="I226" i="23"/>
  <c r="J226" i="23"/>
  <c r="K226" i="23"/>
  <c r="L226" i="23"/>
  <c r="M226" i="23"/>
  <c r="N226" i="23"/>
  <c r="O226" i="23"/>
  <c r="P226" i="23"/>
  <c r="Q226" i="23"/>
  <c r="R226" i="23"/>
  <c r="S226" i="23"/>
  <c r="H227" i="23"/>
  <c r="I227" i="23"/>
  <c r="J227" i="23"/>
  <c r="K227" i="23"/>
  <c r="L227" i="23"/>
  <c r="M227" i="23"/>
  <c r="N227" i="23"/>
  <c r="O227" i="23"/>
  <c r="P227" i="23"/>
  <c r="Q227" i="23"/>
  <c r="R227" i="23"/>
  <c r="S227" i="23"/>
  <c r="H228" i="23"/>
  <c r="I228" i="23"/>
  <c r="J228" i="23"/>
  <c r="K228" i="23"/>
  <c r="L228" i="23"/>
  <c r="M228" i="23"/>
  <c r="N228" i="23"/>
  <c r="O228" i="23"/>
  <c r="P228" i="23"/>
  <c r="Q228" i="23"/>
  <c r="R228" i="23"/>
  <c r="S228" i="23"/>
  <c r="H229" i="23"/>
  <c r="I229" i="23"/>
  <c r="J229" i="23"/>
  <c r="K229" i="23"/>
  <c r="L229" i="23"/>
  <c r="M229" i="23"/>
  <c r="N229" i="23"/>
  <c r="O229" i="23"/>
  <c r="P229" i="23"/>
  <c r="Q229" i="23"/>
  <c r="R229" i="23"/>
  <c r="S229" i="23"/>
  <c r="H230" i="23"/>
  <c r="I230" i="23"/>
  <c r="J230" i="23"/>
  <c r="K230" i="23"/>
  <c r="L230" i="23"/>
  <c r="M230" i="23"/>
  <c r="N230" i="23"/>
  <c r="O230" i="23"/>
  <c r="P230" i="23"/>
  <c r="Q230" i="23"/>
  <c r="R230" i="23"/>
  <c r="S230" i="23"/>
  <c r="H231" i="23"/>
  <c r="I231" i="23"/>
  <c r="J231" i="23"/>
  <c r="K231" i="23"/>
  <c r="L231" i="23"/>
  <c r="M231" i="23"/>
  <c r="N231" i="23"/>
  <c r="O231" i="23"/>
  <c r="P231" i="23"/>
  <c r="Q231" i="23"/>
  <c r="R231" i="23"/>
  <c r="S231" i="23"/>
  <c r="H232" i="23"/>
  <c r="I232" i="23"/>
  <c r="J232" i="23"/>
  <c r="K232" i="23"/>
  <c r="L232" i="23"/>
  <c r="M232" i="23"/>
  <c r="N232" i="23"/>
  <c r="O232" i="23"/>
  <c r="P232" i="23"/>
  <c r="Q232" i="23"/>
  <c r="R232" i="23"/>
  <c r="S232" i="23"/>
  <c r="H233" i="23"/>
  <c r="I233" i="23"/>
  <c r="J233" i="23"/>
  <c r="K233" i="23"/>
  <c r="L233" i="23"/>
  <c r="M233" i="23"/>
  <c r="N233" i="23"/>
  <c r="O233" i="23"/>
  <c r="P233" i="23"/>
  <c r="Q233" i="23"/>
  <c r="R233" i="23"/>
  <c r="S233" i="23"/>
  <c r="H234" i="23"/>
  <c r="I234" i="23"/>
  <c r="J234" i="23"/>
  <c r="K234" i="23"/>
  <c r="L234" i="23"/>
  <c r="M234" i="23"/>
  <c r="N234" i="23"/>
  <c r="O234" i="23"/>
  <c r="P234" i="23"/>
  <c r="Q234" i="23"/>
  <c r="R234" i="23"/>
  <c r="S234" i="23"/>
  <c r="H235" i="23"/>
  <c r="I235" i="23"/>
  <c r="J235" i="23"/>
  <c r="K235" i="23"/>
  <c r="L235" i="23"/>
  <c r="M235" i="23"/>
  <c r="N235" i="23"/>
  <c r="O235" i="23"/>
  <c r="P235" i="23"/>
  <c r="Q235" i="23"/>
  <c r="R235" i="23"/>
  <c r="S235" i="23"/>
  <c r="H236" i="23"/>
  <c r="I236" i="23"/>
  <c r="J236" i="23"/>
  <c r="K236" i="23"/>
  <c r="L236" i="23"/>
  <c r="M236" i="23"/>
  <c r="N236" i="23"/>
  <c r="O236" i="23"/>
  <c r="P236" i="23"/>
  <c r="Q236" i="23"/>
  <c r="R236" i="23"/>
  <c r="S236" i="23"/>
  <c r="H238" i="23"/>
  <c r="I238" i="23"/>
  <c r="J238" i="23"/>
  <c r="K238" i="23"/>
  <c r="L238" i="23"/>
  <c r="M238" i="23"/>
  <c r="N238" i="23"/>
  <c r="O238" i="23"/>
  <c r="P238" i="23"/>
  <c r="Q238" i="23"/>
  <c r="R238" i="23"/>
  <c r="S238" i="23"/>
  <c r="H239" i="23"/>
  <c r="I239" i="23"/>
  <c r="J239" i="23"/>
  <c r="K239" i="23"/>
  <c r="L239" i="23"/>
  <c r="M239" i="23"/>
  <c r="N239" i="23"/>
  <c r="O239" i="23"/>
  <c r="P239" i="23"/>
  <c r="Q239" i="23"/>
  <c r="R239" i="23"/>
  <c r="S239" i="23"/>
  <c r="H240" i="23"/>
  <c r="I240" i="23"/>
  <c r="J240" i="23"/>
  <c r="K240" i="23"/>
  <c r="L240" i="23"/>
  <c r="M240" i="23"/>
  <c r="N240" i="23"/>
  <c r="O240" i="23"/>
  <c r="P240" i="23"/>
  <c r="Q240" i="23"/>
  <c r="R240" i="23"/>
  <c r="S240" i="23"/>
  <c r="H241" i="23"/>
  <c r="I241" i="23"/>
  <c r="J241" i="23"/>
  <c r="K241" i="23"/>
  <c r="L241" i="23"/>
  <c r="M241" i="23"/>
  <c r="N241" i="23"/>
  <c r="O241" i="23"/>
  <c r="P241" i="23"/>
  <c r="Q241" i="23"/>
  <c r="R241" i="23"/>
  <c r="S241" i="23"/>
  <c r="H243" i="23"/>
  <c r="I243" i="23"/>
  <c r="J243" i="23"/>
  <c r="K243" i="23"/>
  <c r="L243" i="23"/>
  <c r="M243" i="23"/>
  <c r="N243" i="23"/>
  <c r="O243" i="23"/>
  <c r="P243" i="23"/>
  <c r="Q243" i="23"/>
  <c r="R243" i="23"/>
  <c r="S243" i="23"/>
  <c r="H246" i="23"/>
  <c r="I246" i="23"/>
  <c r="J246" i="23"/>
  <c r="K246" i="23"/>
  <c r="L246" i="23"/>
  <c r="M246" i="23"/>
  <c r="N246" i="23"/>
  <c r="O246" i="23"/>
  <c r="P246" i="23"/>
  <c r="Q246" i="23"/>
  <c r="R246" i="23"/>
  <c r="S246" i="23"/>
  <c r="H247" i="23"/>
  <c r="I247" i="23"/>
  <c r="J247" i="23"/>
  <c r="K247" i="23"/>
  <c r="L247" i="23"/>
  <c r="M247" i="23"/>
  <c r="N247" i="23"/>
  <c r="O247" i="23"/>
  <c r="P247" i="23"/>
  <c r="Q247" i="23"/>
  <c r="R247" i="23"/>
  <c r="S247" i="23"/>
  <c r="H248" i="23"/>
  <c r="I248" i="23"/>
  <c r="J248" i="23"/>
  <c r="K248" i="23"/>
  <c r="L248" i="23"/>
  <c r="M248" i="23"/>
  <c r="N248" i="23"/>
  <c r="O248" i="23"/>
  <c r="P248" i="23"/>
  <c r="Q248" i="23"/>
  <c r="R248" i="23"/>
  <c r="S248" i="23"/>
  <c r="H249" i="23"/>
  <c r="I249" i="23"/>
  <c r="J249" i="23"/>
  <c r="K249" i="23"/>
  <c r="L249" i="23"/>
  <c r="M249" i="23"/>
  <c r="N249" i="23"/>
  <c r="O249" i="23"/>
  <c r="P249" i="23"/>
  <c r="Q249" i="23"/>
  <c r="R249" i="23"/>
  <c r="S249" i="23"/>
  <c r="H250" i="23"/>
  <c r="I250" i="23"/>
  <c r="J250" i="23"/>
  <c r="K250" i="23"/>
  <c r="L250" i="23"/>
  <c r="M250" i="23"/>
  <c r="N250" i="23"/>
  <c r="O250" i="23"/>
  <c r="P250" i="23"/>
  <c r="Q250" i="23"/>
  <c r="R250" i="23"/>
  <c r="S250" i="23"/>
  <c r="H251" i="23"/>
  <c r="I251" i="23"/>
  <c r="J251" i="23"/>
  <c r="K251" i="23"/>
  <c r="L251" i="23"/>
  <c r="M251" i="23"/>
  <c r="N251" i="23"/>
  <c r="O251" i="23"/>
  <c r="P251" i="23"/>
  <c r="Q251" i="23"/>
  <c r="R251" i="23"/>
  <c r="S251" i="23"/>
  <c r="H253" i="23"/>
  <c r="I253" i="23"/>
  <c r="J253" i="23"/>
  <c r="K253" i="23"/>
  <c r="L253" i="23"/>
  <c r="M253" i="23"/>
  <c r="N253" i="23"/>
  <c r="O253" i="23"/>
  <c r="P253" i="23"/>
  <c r="Q253" i="23"/>
  <c r="R253" i="23"/>
  <c r="S253" i="23"/>
  <c r="H256" i="23"/>
  <c r="I256" i="23"/>
  <c r="J256" i="23"/>
  <c r="K256" i="23"/>
  <c r="L256" i="23"/>
  <c r="M256" i="23"/>
  <c r="N256" i="23"/>
  <c r="O256" i="23"/>
  <c r="P256" i="23"/>
  <c r="Q256" i="23"/>
  <c r="R256" i="23"/>
  <c r="S256" i="23"/>
  <c r="H257" i="23"/>
  <c r="I257" i="23"/>
  <c r="J257" i="23"/>
  <c r="K257" i="23"/>
  <c r="L257" i="23"/>
  <c r="M257" i="23"/>
  <c r="N257" i="23"/>
  <c r="O257" i="23"/>
  <c r="P257" i="23"/>
  <c r="Q257" i="23"/>
  <c r="R257" i="23"/>
  <c r="S257" i="23"/>
  <c r="H258" i="23"/>
  <c r="I258" i="23"/>
  <c r="J258" i="23"/>
  <c r="K258" i="23"/>
  <c r="L258" i="23"/>
  <c r="M258" i="23"/>
  <c r="N258" i="23"/>
  <c r="O258" i="23"/>
  <c r="P258" i="23"/>
  <c r="Q258" i="23"/>
  <c r="R258" i="23"/>
  <c r="S258" i="23"/>
  <c r="H259" i="23"/>
  <c r="I259" i="23"/>
  <c r="J259" i="23"/>
  <c r="K259" i="23"/>
  <c r="L259" i="23"/>
  <c r="M259" i="23"/>
  <c r="N259" i="23"/>
  <c r="O259" i="23"/>
  <c r="P259" i="23"/>
  <c r="Q259" i="23"/>
  <c r="R259" i="23"/>
  <c r="S259" i="23"/>
  <c r="H262" i="23"/>
  <c r="I262" i="23"/>
  <c r="J262" i="23"/>
  <c r="K262" i="23"/>
  <c r="L262" i="23"/>
  <c r="M262" i="23"/>
  <c r="N262" i="23"/>
  <c r="O262" i="23"/>
  <c r="P262" i="23"/>
  <c r="Q262" i="23"/>
  <c r="R262" i="23"/>
  <c r="S262" i="23"/>
  <c r="H263" i="23"/>
  <c r="I263" i="23"/>
  <c r="J263" i="23"/>
  <c r="K263" i="23"/>
  <c r="L263" i="23"/>
  <c r="M263" i="23"/>
  <c r="N263" i="23"/>
  <c r="O263" i="23"/>
  <c r="P263" i="23"/>
  <c r="Q263" i="23"/>
  <c r="R263" i="23"/>
  <c r="S263" i="23"/>
  <c r="H264" i="23"/>
  <c r="I264" i="23"/>
  <c r="J264" i="23"/>
  <c r="K264" i="23"/>
  <c r="L264" i="23"/>
  <c r="M264" i="23"/>
  <c r="N264" i="23"/>
  <c r="O264" i="23"/>
  <c r="P264" i="23"/>
  <c r="Q264" i="23"/>
  <c r="R264" i="23"/>
  <c r="S264" i="23"/>
  <c r="H265" i="23"/>
  <c r="I265" i="23"/>
  <c r="J265" i="23"/>
  <c r="K265" i="23"/>
  <c r="L265" i="23"/>
  <c r="M265" i="23"/>
  <c r="N265" i="23"/>
  <c r="O265" i="23"/>
  <c r="P265" i="23"/>
  <c r="Q265" i="23"/>
  <c r="R265" i="23"/>
  <c r="S265" i="23"/>
  <c r="H266" i="23"/>
  <c r="I266" i="23"/>
  <c r="J266" i="23"/>
  <c r="K266" i="23"/>
  <c r="L266" i="23"/>
  <c r="M266" i="23"/>
  <c r="N266" i="23"/>
  <c r="O266" i="23"/>
  <c r="P266" i="23"/>
  <c r="Q266" i="23"/>
  <c r="R266" i="23"/>
  <c r="S266" i="23"/>
  <c r="H267" i="23"/>
  <c r="I267" i="23"/>
  <c r="J267" i="23"/>
  <c r="K267" i="23"/>
  <c r="L267" i="23"/>
  <c r="M267" i="23"/>
  <c r="N267" i="23"/>
  <c r="O267" i="23"/>
  <c r="P267" i="23"/>
  <c r="Q267" i="23"/>
  <c r="R267" i="23"/>
  <c r="S267" i="23"/>
  <c r="H268" i="23"/>
  <c r="I268" i="23"/>
  <c r="J268" i="23"/>
  <c r="K268" i="23"/>
  <c r="L268" i="23"/>
  <c r="M268" i="23"/>
  <c r="N268" i="23"/>
  <c r="O268" i="23"/>
  <c r="P268" i="23"/>
  <c r="Q268" i="23"/>
  <c r="R268" i="23"/>
  <c r="S268" i="23"/>
  <c r="H269" i="23"/>
  <c r="I269" i="23"/>
  <c r="J269" i="23"/>
  <c r="K269" i="23"/>
  <c r="L269" i="23"/>
  <c r="M269" i="23"/>
  <c r="N269" i="23"/>
  <c r="O269" i="23"/>
  <c r="P269" i="23"/>
  <c r="Q269" i="23"/>
  <c r="R269" i="23"/>
  <c r="S269" i="23"/>
  <c r="H270" i="23"/>
  <c r="I270" i="23"/>
  <c r="J270" i="23"/>
  <c r="K270" i="23"/>
  <c r="L270" i="23"/>
  <c r="M270" i="23"/>
  <c r="N270" i="23"/>
  <c r="O270" i="23"/>
  <c r="P270" i="23"/>
  <c r="Q270" i="23"/>
  <c r="R270" i="23"/>
  <c r="S270" i="23"/>
  <c r="H271" i="23"/>
  <c r="I271" i="23"/>
  <c r="J271" i="23"/>
  <c r="K271" i="23"/>
  <c r="L271" i="23"/>
  <c r="M271" i="23"/>
  <c r="N271" i="23"/>
  <c r="O271" i="23"/>
  <c r="P271" i="23"/>
  <c r="Q271" i="23"/>
  <c r="R271" i="23"/>
  <c r="S271" i="23"/>
  <c r="H272" i="23"/>
  <c r="I272" i="23"/>
  <c r="J272" i="23"/>
  <c r="K272" i="23"/>
  <c r="L272" i="23"/>
  <c r="M272" i="23"/>
  <c r="N272" i="23"/>
  <c r="O272" i="23"/>
  <c r="P272" i="23"/>
  <c r="Q272" i="23"/>
  <c r="R272" i="23"/>
  <c r="S272" i="23"/>
  <c r="H273" i="23"/>
  <c r="I273" i="23"/>
  <c r="J273" i="23"/>
  <c r="K273" i="23"/>
  <c r="L273" i="23"/>
  <c r="M273" i="23"/>
  <c r="N273" i="23"/>
  <c r="O273" i="23"/>
  <c r="P273" i="23"/>
  <c r="Q273" i="23"/>
  <c r="R273" i="23"/>
  <c r="S273" i="23"/>
  <c r="H274" i="23"/>
  <c r="I274" i="23"/>
  <c r="J274" i="23"/>
  <c r="K274" i="23"/>
  <c r="L274" i="23"/>
  <c r="M274" i="23"/>
  <c r="N274" i="23"/>
  <c r="O274" i="23"/>
  <c r="P274" i="23"/>
  <c r="Q274" i="23"/>
  <c r="R274" i="23"/>
  <c r="S274" i="23"/>
  <c r="H275" i="23"/>
  <c r="I275" i="23"/>
  <c r="J275" i="23"/>
  <c r="K275" i="23"/>
  <c r="L275" i="23"/>
  <c r="M275" i="23"/>
  <c r="N275" i="23"/>
  <c r="O275" i="23"/>
  <c r="P275" i="23"/>
  <c r="Q275" i="23"/>
  <c r="R275" i="23"/>
  <c r="S275" i="23"/>
  <c r="H276" i="23"/>
  <c r="I276" i="23"/>
  <c r="J276" i="23"/>
  <c r="K276" i="23"/>
  <c r="L276" i="23"/>
  <c r="M276" i="23"/>
  <c r="N276" i="23"/>
  <c r="O276" i="23"/>
  <c r="P276" i="23"/>
  <c r="Q276" i="23"/>
  <c r="R276" i="23"/>
  <c r="S276" i="23"/>
  <c r="H277" i="23"/>
  <c r="I277" i="23"/>
  <c r="J277" i="23"/>
  <c r="K277" i="23"/>
  <c r="L277" i="23"/>
  <c r="M277" i="23"/>
  <c r="N277" i="23"/>
  <c r="O277" i="23"/>
  <c r="P277" i="23"/>
  <c r="Q277" i="23"/>
  <c r="R277" i="23"/>
  <c r="S277" i="23"/>
  <c r="H278" i="23"/>
  <c r="I278" i="23"/>
  <c r="J278" i="23"/>
  <c r="K278" i="23"/>
  <c r="L278" i="23"/>
  <c r="M278" i="23"/>
  <c r="N278" i="23"/>
  <c r="O278" i="23"/>
  <c r="P278" i="23"/>
  <c r="Q278" i="23"/>
  <c r="R278" i="23"/>
  <c r="S278" i="23"/>
  <c r="H279" i="23"/>
  <c r="I279" i="23"/>
  <c r="J279" i="23"/>
  <c r="K279" i="23"/>
  <c r="L279" i="23"/>
  <c r="M279" i="23"/>
  <c r="N279" i="23"/>
  <c r="O279" i="23"/>
  <c r="P279" i="23"/>
  <c r="Q279" i="23"/>
  <c r="R279" i="23"/>
  <c r="S279" i="23"/>
  <c r="H280" i="23"/>
  <c r="I280" i="23"/>
  <c r="J280" i="23"/>
  <c r="K280" i="23"/>
  <c r="L280" i="23"/>
  <c r="M280" i="23"/>
  <c r="N280" i="23"/>
  <c r="O280" i="23"/>
  <c r="P280" i="23"/>
  <c r="Q280" i="23"/>
  <c r="R280" i="23"/>
  <c r="S280" i="23"/>
  <c r="H281" i="23"/>
  <c r="I281" i="23"/>
  <c r="J281" i="23"/>
  <c r="K281" i="23"/>
  <c r="L281" i="23"/>
  <c r="M281" i="23"/>
  <c r="N281" i="23"/>
  <c r="O281" i="23"/>
  <c r="P281" i="23"/>
  <c r="Q281" i="23"/>
  <c r="R281" i="23"/>
  <c r="S281" i="23"/>
  <c r="G6" i="23"/>
  <c r="G7" i="23"/>
  <c r="G8" i="23"/>
  <c r="G9" i="23"/>
  <c r="G10" i="23"/>
  <c r="G11" i="23"/>
  <c r="U11" i="23" s="1"/>
  <c r="G12" i="23"/>
  <c r="G13" i="23"/>
  <c r="G14" i="23"/>
  <c r="G15" i="23"/>
  <c r="G16" i="23"/>
  <c r="G17" i="23"/>
  <c r="G18" i="23"/>
  <c r="G19" i="23"/>
  <c r="G20" i="23"/>
  <c r="G21" i="23"/>
  <c r="G22" i="23"/>
  <c r="G23" i="23"/>
  <c r="U23" i="23" s="1"/>
  <c r="G24" i="23"/>
  <c r="G25" i="23"/>
  <c r="G26" i="23"/>
  <c r="G27" i="23"/>
  <c r="G28" i="23"/>
  <c r="G29" i="23"/>
  <c r="G30" i="23"/>
  <c r="G31" i="23"/>
  <c r="G32" i="23"/>
  <c r="G33" i="23"/>
  <c r="G34" i="23"/>
  <c r="G35" i="23"/>
  <c r="U35" i="23" s="1"/>
  <c r="G36" i="23"/>
  <c r="G37" i="23"/>
  <c r="G38" i="23"/>
  <c r="G39" i="23"/>
  <c r="G40" i="23"/>
  <c r="G41" i="23"/>
  <c r="G42" i="23"/>
  <c r="G43" i="23"/>
  <c r="G44" i="23"/>
  <c r="G45" i="23"/>
  <c r="G46" i="23"/>
  <c r="G47" i="23"/>
  <c r="U47" i="23" s="1"/>
  <c r="G48" i="23"/>
  <c r="G49" i="23"/>
  <c r="G50" i="23"/>
  <c r="G51" i="23"/>
  <c r="G52" i="23"/>
  <c r="G53" i="23"/>
  <c r="G54" i="23"/>
  <c r="G55" i="23"/>
  <c r="G56" i="23"/>
  <c r="G57" i="23"/>
  <c r="G58" i="23"/>
  <c r="G59" i="23"/>
  <c r="U59" i="23" s="1"/>
  <c r="G60" i="23"/>
  <c r="G61" i="23"/>
  <c r="G62" i="23"/>
  <c r="G63" i="23"/>
  <c r="G64" i="23"/>
  <c r="G65" i="23"/>
  <c r="G66" i="23"/>
  <c r="G67" i="23"/>
  <c r="G68" i="23"/>
  <c r="G69" i="23"/>
  <c r="G70" i="23"/>
  <c r="G71" i="23"/>
  <c r="U71" i="23" s="1"/>
  <c r="G72" i="23"/>
  <c r="G73" i="23"/>
  <c r="G74" i="23"/>
  <c r="G75" i="23"/>
  <c r="G76" i="23"/>
  <c r="G77" i="23"/>
  <c r="G78" i="23"/>
  <c r="G79" i="23"/>
  <c r="G80" i="23"/>
  <c r="G81" i="23"/>
  <c r="G82" i="23"/>
  <c r="G83" i="23"/>
  <c r="U83" i="23" s="1"/>
  <c r="G84" i="23"/>
  <c r="G85" i="23"/>
  <c r="G86" i="23"/>
  <c r="G87" i="23"/>
  <c r="G88" i="23"/>
  <c r="G89" i="23"/>
  <c r="G90" i="23"/>
  <c r="G91" i="23"/>
  <c r="G92" i="23"/>
  <c r="G93" i="23"/>
  <c r="G94" i="23"/>
  <c r="G95" i="23"/>
  <c r="U95" i="23" s="1"/>
  <c r="G96" i="23"/>
  <c r="G97" i="23"/>
  <c r="G98" i="23"/>
  <c r="G99" i="23"/>
  <c r="G100" i="23"/>
  <c r="G101" i="23"/>
  <c r="G102" i="23"/>
  <c r="G103" i="23"/>
  <c r="G104" i="23"/>
  <c r="G105" i="23"/>
  <c r="G106" i="23"/>
  <c r="G107" i="23"/>
  <c r="U107" i="23" s="1"/>
  <c r="G108" i="23"/>
  <c r="G109" i="23"/>
  <c r="G110" i="23"/>
  <c r="G111" i="23"/>
  <c r="G112" i="23"/>
  <c r="G113" i="23"/>
  <c r="G114" i="23"/>
  <c r="G115" i="23"/>
  <c r="G116" i="23"/>
  <c r="G117" i="23"/>
  <c r="G118" i="23"/>
  <c r="G119" i="23"/>
  <c r="U119" i="23" s="1"/>
  <c r="G120" i="23"/>
  <c r="G121" i="23"/>
  <c r="G122" i="23"/>
  <c r="G123" i="23"/>
  <c r="G124" i="23"/>
  <c r="G125" i="23"/>
  <c r="G126" i="23"/>
  <c r="G127" i="23"/>
  <c r="G128" i="23"/>
  <c r="G129" i="23"/>
  <c r="G130" i="23"/>
  <c r="G131" i="23"/>
  <c r="U131" i="23" s="1"/>
  <c r="G132" i="23"/>
  <c r="G133" i="23"/>
  <c r="G134" i="23"/>
  <c r="G135" i="23"/>
  <c r="G136" i="23"/>
  <c r="G137" i="23"/>
  <c r="G138" i="23"/>
  <c r="G139" i="23"/>
  <c r="G140" i="23"/>
  <c r="G141" i="23"/>
  <c r="G142" i="23"/>
  <c r="G143" i="23"/>
  <c r="U143" i="23" s="1"/>
  <c r="G144" i="23"/>
  <c r="G145" i="23"/>
  <c r="G146" i="23"/>
  <c r="G147" i="23"/>
  <c r="G148" i="23"/>
  <c r="G149" i="23"/>
  <c r="G150" i="23"/>
  <c r="G151" i="23"/>
  <c r="G152" i="23"/>
  <c r="G153" i="23"/>
  <c r="G154" i="23"/>
  <c r="G155" i="23"/>
  <c r="U155" i="23" s="1"/>
  <c r="G156" i="23"/>
  <c r="G157" i="23"/>
  <c r="G158" i="23"/>
  <c r="G159" i="23"/>
  <c r="G160" i="23"/>
  <c r="G161" i="23"/>
  <c r="G162" i="23"/>
  <c r="G163" i="23"/>
  <c r="G164" i="23"/>
  <c r="G165" i="23"/>
  <c r="G166" i="23"/>
  <c r="G167" i="23"/>
  <c r="U167" i="23" s="1"/>
  <c r="G168" i="23"/>
  <c r="G169" i="23"/>
  <c r="G170" i="23"/>
  <c r="G171" i="23"/>
  <c r="G172" i="23"/>
  <c r="G173" i="23"/>
  <c r="G174" i="23"/>
  <c r="G175" i="23"/>
  <c r="G176" i="23"/>
  <c r="G177" i="23"/>
  <c r="G178" i="23"/>
  <c r="G179" i="23"/>
  <c r="U179" i="23" s="1"/>
  <c r="G180" i="23"/>
  <c r="G181" i="23"/>
  <c r="G182" i="23"/>
  <c r="G183" i="23"/>
  <c r="G184" i="23"/>
  <c r="G185" i="23"/>
  <c r="G186" i="23"/>
  <c r="G187" i="23"/>
  <c r="G188" i="23"/>
  <c r="G189" i="23"/>
  <c r="G190" i="23"/>
  <c r="G191" i="23"/>
  <c r="U191" i="23" s="1"/>
  <c r="G192" i="23"/>
  <c r="G193" i="23"/>
  <c r="G194" i="23"/>
  <c r="G195" i="23"/>
  <c r="G196" i="23"/>
  <c r="G197" i="23"/>
  <c r="G198" i="23"/>
  <c r="G199" i="23"/>
  <c r="G200" i="23"/>
  <c r="G201" i="23"/>
  <c r="G202" i="23"/>
  <c r="G203" i="23"/>
  <c r="U203" i="23" s="1"/>
  <c r="G204" i="23"/>
  <c r="G205" i="23"/>
  <c r="G206" i="23"/>
  <c r="G207" i="23"/>
  <c r="G208" i="23"/>
  <c r="G210" i="23"/>
  <c r="G211" i="23"/>
  <c r="G212" i="23"/>
  <c r="G213" i="23"/>
  <c r="G215" i="23"/>
  <c r="G216" i="23"/>
  <c r="G217" i="23"/>
  <c r="U217" i="23" s="1"/>
  <c r="G218" i="23"/>
  <c r="G219" i="23"/>
  <c r="G220" i="23"/>
  <c r="G221" i="23"/>
  <c r="G222" i="23"/>
  <c r="G223" i="23"/>
  <c r="G224" i="23"/>
  <c r="G225" i="23"/>
  <c r="G226" i="23"/>
  <c r="G227" i="23"/>
  <c r="G228" i="23"/>
  <c r="G229" i="23"/>
  <c r="U229" i="23" s="1"/>
  <c r="G230" i="23"/>
  <c r="G231" i="23"/>
  <c r="G232" i="23"/>
  <c r="G233" i="23"/>
  <c r="G234" i="23"/>
  <c r="G235" i="23"/>
  <c r="G236" i="23"/>
  <c r="G238" i="23"/>
  <c r="G239" i="23"/>
  <c r="G240" i="23"/>
  <c r="G241" i="23"/>
  <c r="G243" i="23"/>
  <c r="U243" i="23" s="1"/>
  <c r="G246" i="23"/>
  <c r="G247" i="23"/>
  <c r="G248" i="23"/>
  <c r="G249" i="23"/>
  <c r="G250" i="23"/>
  <c r="G251" i="23"/>
  <c r="G253" i="23"/>
  <c r="G256" i="23"/>
  <c r="G257" i="23"/>
  <c r="G258" i="23"/>
  <c r="G259" i="23"/>
  <c r="G262" i="23"/>
  <c r="U262" i="23" s="1"/>
  <c r="G263" i="23"/>
  <c r="G264" i="23"/>
  <c r="G265" i="23"/>
  <c r="G266" i="23"/>
  <c r="G267" i="23"/>
  <c r="G268" i="23"/>
  <c r="G269" i="23"/>
  <c r="G270" i="23"/>
  <c r="G271" i="23"/>
  <c r="G272" i="23"/>
  <c r="G273" i="23"/>
  <c r="G274" i="23"/>
  <c r="U274" i="23" s="1"/>
  <c r="G275" i="23"/>
  <c r="G276" i="23"/>
  <c r="G277" i="23"/>
  <c r="G278" i="23"/>
  <c r="G279" i="23"/>
  <c r="G280" i="23"/>
  <c r="G281" i="23"/>
  <c r="G5" i="23"/>
  <c r="U44" i="23"/>
  <c r="U209" i="23"/>
  <c r="U214" i="23"/>
  <c r="U237" i="23"/>
  <c r="U242" i="23"/>
  <c r="U244" i="23"/>
  <c r="U245" i="23"/>
  <c r="U252" i="23"/>
  <c r="U254" i="23"/>
  <c r="U255" i="23"/>
  <c r="U260" i="23"/>
  <c r="U261" i="23"/>
  <c r="U4" i="23"/>
  <c r="C20" i="24"/>
  <c r="D20" i="24"/>
  <c r="E20" i="24"/>
  <c r="F20" i="24"/>
  <c r="G20" i="24"/>
  <c r="H20" i="24"/>
  <c r="I20" i="24"/>
  <c r="J20" i="24"/>
  <c r="K20" i="24"/>
  <c r="L20" i="24"/>
  <c r="M20" i="24"/>
  <c r="N20" i="24"/>
  <c r="O20" i="24"/>
  <c r="P20" i="24"/>
  <c r="Q20" i="24"/>
  <c r="R20" i="24"/>
  <c r="S20" i="24"/>
  <c r="T20" i="24"/>
  <c r="U20" i="24"/>
  <c r="B20" i="24"/>
  <c r="C17" i="24"/>
  <c r="D17" i="24"/>
  <c r="E17" i="24"/>
  <c r="F17" i="24"/>
  <c r="G17" i="24"/>
  <c r="H17" i="24"/>
  <c r="I17" i="24"/>
  <c r="J17" i="24"/>
  <c r="K17" i="24"/>
  <c r="L17" i="24"/>
  <c r="M17" i="24"/>
  <c r="N17" i="24"/>
  <c r="O17" i="24"/>
  <c r="P17" i="24"/>
  <c r="Q17" i="24"/>
  <c r="R17" i="24"/>
  <c r="S17" i="24"/>
  <c r="T17" i="24"/>
  <c r="U17" i="24"/>
  <c r="B17" i="24"/>
  <c r="C14" i="24"/>
  <c r="B11" i="24"/>
  <c r="J17" i="44"/>
  <c r="J16" i="44"/>
  <c r="J15" i="44"/>
  <c r="J14" i="44"/>
  <c r="J13" i="44"/>
  <c r="J12" i="44"/>
  <c r="J11" i="44"/>
  <c r="I17" i="44"/>
  <c r="I16" i="44"/>
  <c r="I15" i="44"/>
  <c r="I14" i="44"/>
  <c r="I13" i="44"/>
  <c r="I12" i="44"/>
  <c r="I11" i="44"/>
  <c r="H17" i="44"/>
  <c r="H18" i="44" s="1"/>
  <c r="H16" i="44"/>
  <c r="H15" i="44"/>
  <c r="H14" i="44"/>
  <c r="H13" i="44"/>
  <c r="H12" i="44"/>
  <c r="H11" i="44"/>
  <c r="G17" i="44"/>
  <c r="G16" i="44"/>
  <c r="G15" i="44"/>
  <c r="G14" i="44"/>
  <c r="G13" i="44"/>
  <c r="G18" i="44" s="1"/>
  <c r="G12" i="44"/>
  <c r="G11" i="44"/>
  <c r="F17" i="44"/>
  <c r="F16" i="44"/>
  <c r="F15" i="44"/>
  <c r="F14" i="44"/>
  <c r="F13" i="44"/>
  <c r="F12" i="44"/>
  <c r="F18" i="44" s="1"/>
  <c r="F11" i="44"/>
  <c r="E17" i="44"/>
  <c r="E16" i="44"/>
  <c r="E18" i="44" s="1"/>
  <c r="E15" i="44"/>
  <c r="E14" i="44"/>
  <c r="E13" i="44"/>
  <c r="E12" i="44"/>
  <c r="E11" i="44"/>
  <c r="D17" i="44"/>
  <c r="D16" i="44"/>
  <c r="D15" i="44"/>
  <c r="D14" i="44"/>
  <c r="D13" i="44"/>
  <c r="D12" i="44"/>
  <c r="D18" i="44" s="1"/>
  <c r="D11" i="44"/>
  <c r="C18" i="44"/>
  <c r="U273" i="23" l="1"/>
  <c r="U259" i="23"/>
  <c r="U228" i="23"/>
  <c r="U202" i="23"/>
  <c r="U178" i="23"/>
  <c r="U142" i="23"/>
  <c r="U258" i="23"/>
  <c r="U149" i="23"/>
  <c r="U114" i="23"/>
  <c r="U77" i="23"/>
  <c r="U6" i="23"/>
  <c r="U236" i="23"/>
  <c r="U76" i="23"/>
  <c r="U41" i="23"/>
  <c r="U5" i="23"/>
  <c r="U200" i="23"/>
  <c r="U152" i="23"/>
  <c r="U128" i="23"/>
  <c r="U56" i="23"/>
  <c r="U280" i="23"/>
  <c r="U235" i="23"/>
  <c r="U175" i="23"/>
  <c r="U40" i="23"/>
  <c r="U199" i="23"/>
  <c r="U163" i="23"/>
  <c r="U91" i="23"/>
  <c r="U55" i="23"/>
  <c r="U19" i="23"/>
  <c r="U269" i="23"/>
  <c r="U267" i="23"/>
  <c r="U248" i="23"/>
  <c r="U247" i="23"/>
  <c r="U233" i="23"/>
  <c r="U231" i="23"/>
  <c r="U223" i="23"/>
  <c r="U208" i="23"/>
  <c r="U195" i="23"/>
  <c r="U173" i="23"/>
  <c r="U161" i="23"/>
  <c r="U136" i="23"/>
  <c r="U125" i="23"/>
  <c r="U101" i="23"/>
  <c r="U90" i="23"/>
  <c r="U66" i="23"/>
  <c r="U64" i="23"/>
  <c r="U30" i="23"/>
  <c r="U16" i="23"/>
  <c r="U241" i="23"/>
  <c r="U216" i="23"/>
  <c r="U190" i="23"/>
  <c r="U166" i="23"/>
  <c r="U154" i="23"/>
  <c r="U211" i="23"/>
  <c r="U184" i="23"/>
  <c r="U42" i="23"/>
  <c r="U272" i="23"/>
  <c r="U281" i="23"/>
  <c r="U257" i="23"/>
  <c r="U210" i="23"/>
  <c r="U176" i="23"/>
  <c r="U148" i="23"/>
  <c r="U104" i="23"/>
  <c r="U271" i="23"/>
  <c r="U188" i="23"/>
  <c r="U140" i="23"/>
  <c r="U92" i="23"/>
  <c r="U68" i="23"/>
  <c r="U32" i="23"/>
  <c r="U256" i="23"/>
  <c r="U103" i="23"/>
  <c r="U270" i="23"/>
  <c r="U187" i="23"/>
  <c r="U127" i="23"/>
  <c r="U67" i="23"/>
  <c r="U31" i="23"/>
  <c r="U279" i="23"/>
  <c r="U268" i="23"/>
  <c r="U246" i="23"/>
  <c r="U234" i="23"/>
  <c r="U232" i="23"/>
  <c r="U224" i="23"/>
  <c r="U220" i="23"/>
  <c r="U198" i="23"/>
  <c r="U174" i="23"/>
  <c r="U162" i="23"/>
  <c r="U160" i="23"/>
  <c r="U137" i="23"/>
  <c r="U126" i="23"/>
  <c r="U124" i="23"/>
  <c r="U102" i="23"/>
  <c r="U100" i="23"/>
  <c r="U89" i="23"/>
  <c r="U65" i="23"/>
  <c r="U52" i="23"/>
  <c r="U18" i="23"/>
  <c r="U17" i="23"/>
  <c r="U130" i="23"/>
  <c r="U106" i="23"/>
  <c r="U82" i="23"/>
  <c r="U58" i="23"/>
  <c r="U46" i="23"/>
  <c r="U22" i="23"/>
  <c r="U227" i="23"/>
  <c r="U201" i="23"/>
  <c r="U177" i="23"/>
  <c r="U153" i="23"/>
  <c r="U129" i="23"/>
  <c r="U105" i="23"/>
  <c r="U81" i="23"/>
  <c r="U57" i="23"/>
  <c r="U33" i="23"/>
  <c r="U9" i="23"/>
  <c r="U226" i="23"/>
  <c r="U164" i="23"/>
  <c r="U20" i="23"/>
  <c r="U238" i="23"/>
  <c r="U221" i="23"/>
  <c r="U207" i="23"/>
  <c r="U197" i="23"/>
  <c r="U171" i="23"/>
  <c r="U147" i="23"/>
  <c r="U113" i="23"/>
  <c r="U111" i="23"/>
  <c r="U99" i="23"/>
  <c r="U87" i="23"/>
  <c r="U63" i="23"/>
  <c r="U53" i="23"/>
  <c r="U29" i="23"/>
  <c r="U28" i="23"/>
  <c r="U15" i="23"/>
  <c r="I18" i="44"/>
  <c r="U118" i="23"/>
  <c r="U94" i="23"/>
  <c r="U70" i="23"/>
  <c r="U34" i="23"/>
  <c r="U10" i="23"/>
  <c r="U240" i="23"/>
  <c r="U215" i="23"/>
  <c r="U189" i="23"/>
  <c r="U165" i="23"/>
  <c r="U141" i="23"/>
  <c r="U117" i="23"/>
  <c r="U93" i="23"/>
  <c r="U69" i="23"/>
  <c r="U45" i="23"/>
  <c r="U21" i="23"/>
  <c r="U239" i="23"/>
  <c r="U213" i="23"/>
  <c r="U80" i="23"/>
  <c r="U225" i="23"/>
  <c r="U139" i="23"/>
  <c r="U79" i="23"/>
  <c r="U222" i="23"/>
  <c r="U219" i="23"/>
  <c r="U196" i="23"/>
  <c r="U183" i="23"/>
  <c r="U172" i="23"/>
  <c r="U159" i="23"/>
  <c r="U138" i="23"/>
  <c r="U135" i="23"/>
  <c r="U123" i="23"/>
  <c r="U112" i="23"/>
  <c r="U75" i="23"/>
  <c r="U54" i="23"/>
  <c r="U51" i="23"/>
  <c r="U39" i="23"/>
  <c r="U27" i="23"/>
  <c r="U249" i="23"/>
  <c r="U253" i="23"/>
  <c r="U278" i="23"/>
  <c r="U277" i="23"/>
  <c r="U276" i="23"/>
  <c r="U275" i="23"/>
  <c r="U266" i="23"/>
  <c r="U265" i="23"/>
  <c r="U264" i="23"/>
  <c r="U263" i="23"/>
  <c r="U230" i="23"/>
  <c r="U218" i="23"/>
  <c r="U206" i="23"/>
  <c r="U205" i="23"/>
  <c r="U204" i="23"/>
  <c r="U194" i="23"/>
  <c r="U193" i="23"/>
  <c r="U192" i="23"/>
  <c r="U182" i="23"/>
  <c r="U181" i="23"/>
  <c r="U180" i="23"/>
  <c r="U170" i="23"/>
  <c r="U169" i="23"/>
  <c r="U168" i="23"/>
  <c r="U158" i="23"/>
  <c r="U157" i="23"/>
  <c r="U156" i="23"/>
  <c r="U146" i="23"/>
  <c r="U145" i="23"/>
  <c r="U144" i="23"/>
  <c r="U134" i="23"/>
  <c r="U133" i="23"/>
  <c r="U132" i="23"/>
  <c r="U122" i="23"/>
  <c r="U121" i="23"/>
  <c r="U120" i="23"/>
  <c r="U110" i="23"/>
  <c r="U109" i="23"/>
  <c r="U108" i="23"/>
  <c r="U98" i="23"/>
  <c r="U97" i="23"/>
  <c r="U96" i="23"/>
  <c r="U86" i="23"/>
  <c r="U85" i="23"/>
  <c r="U84" i="23"/>
  <c r="U74" i="23"/>
  <c r="U73" i="23"/>
  <c r="U72" i="23"/>
  <c r="U62" i="23"/>
  <c r="U61" i="23"/>
  <c r="U60" i="23"/>
  <c r="U50" i="23"/>
  <c r="U49" i="23"/>
  <c r="U48" i="23"/>
  <c r="U38" i="23"/>
  <c r="U37" i="23"/>
  <c r="U36" i="23"/>
  <c r="U26" i="23"/>
  <c r="U25" i="23"/>
  <c r="U24" i="23"/>
  <c r="U14" i="23"/>
  <c r="U13" i="23"/>
  <c r="U12" i="23"/>
  <c r="J18" i="44"/>
  <c r="U251" i="23"/>
  <c r="U250" i="23"/>
  <c r="R13" i="22"/>
  <c r="U8" i="42" l="1"/>
  <c r="F13" i="19" l="1"/>
  <c r="R7" i="22"/>
  <c r="R6" i="22"/>
  <c r="R21" i="22"/>
  <c r="Q9" i="22"/>
  <c r="Q12" i="22" s="1"/>
  <c r="Q13" i="22" s="1"/>
  <c r="Q15" i="22" s="1"/>
  <c r="C15" i="22"/>
  <c r="T10" i="43"/>
  <c r="S10" i="43"/>
  <c r="R10" i="43"/>
  <c r="Q10" i="43"/>
  <c r="P10" i="43"/>
  <c r="O10" i="43"/>
  <c r="N10" i="43"/>
  <c r="M10" i="43"/>
  <c r="L10" i="43"/>
  <c r="K10" i="43"/>
  <c r="J10" i="43"/>
  <c r="I10" i="43"/>
  <c r="H10" i="43"/>
  <c r="G10" i="43"/>
  <c r="F10" i="43"/>
  <c r="E10" i="43"/>
  <c r="D10" i="43"/>
  <c r="C10" i="43"/>
  <c r="U9" i="43"/>
  <c r="U8" i="43"/>
  <c r="U7" i="43"/>
  <c r="G249" i="10"/>
  <c r="E10" i="24"/>
  <c r="F13" i="24"/>
  <c r="E13" i="24"/>
  <c r="C13" i="39"/>
  <c r="C15" i="39" s="1"/>
  <c r="D13" i="39"/>
  <c r="D6" i="40"/>
  <c r="D4" i="40"/>
  <c r="P282" i="18"/>
  <c r="D283" i="10" s="1"/>
  <c r="U21" i="24"/>
  <c r="T21" i="24"/>
  <c r="S21" i="24"/>
  <c r="R21" i="24"/>
  <c r="Q21" i="24"/>
  <c r="P21" i="24"/>
  <c r="O21" i="24"/>
  <c r="N21" i="24"/>
  <c r="M21" i="24"/>
  <c r="L21" i="24"/>
  <c r="K21" i="24"/>
  <c r="J21" i="24"/>
  <c r="I21" i="24"/>
  <c r="H21" i="24"/>
  <c r="G21" i="24"/>
  <c r="F21" i="24"/>
  <c r="E21" i="24"/>
  <c r="D21" i="24"/>
  <c r="C21" i="24"/>
  <c r="B21" i="24"/>
  <c r="C17" i="13"/>
  <c r="F14" i="8"/>
  <c r="C17" i="15"/>
  <c r="C13" i="19"/>
  <c r="C15" i="17"/>
  <c r="D15" i="22"/>
  <c r="F283" i="23" s="1"/>
  <c r="U283" i="23" s="1"/>
  <c r="Q17" i="22" l="1"/>
  <c r="U10" i="43"/>
  <c r="F12" i="19"/>
  <c r="F10" i="19"/>
  <c r="H283" i="20"/>
  <c r="H282" i="20"/>
  <c r="H281" i="20"/>
  <c r="H280" i="20"/>
  <c r="H279" i="20"/>
  <c r="H278" i="20"/>
  <c r="H277" i="20"/>
  <c r="H276" i="20"/>
  <c r="H275" i="20"/>
  <c r="H274" i="20"/>
  <c r="H273" i="20"/>
  <c r="H272" i="20"/>
  <c r="H271" i="20"/>
  <c r="H270" i="20"/>
  <c r="H269" i="20"/>
  <c r="H268" i="20"/>
  <c r="H267" i="20"/>
  <c r="H266" i="20"/>
  <c r="H265" i="20"/>
  <c r="H264" i="20"/>
  <c r="H263" i="20"/>
  <c r="H262" i="20"/>
  <c r="H261" i="20"/>
  <c r="H260" i="20"/>
  <c r="H259" i="20"/>
  <c r="H258" i="20"/>
  <c r="H257" i="20"/>
  <c r="H256" i="20"/>
  <c r="H255" i="20"/>
  <c r="H254" i="20"/>
  <c r="H253" i="20"/>
  <c r="H252" i="20"/>
  <c r="H251" i="20"/>
  <c r="H250" i="20"/>
  <c r="H249" i="20"/>
  <c r="H248" i="20"/>
  <c r="H247" i="20"/>
  <c r="H246" i="20"/>
  <c r="H245" i="20"/>
  <c r="H244" i="20"/>
  <c r="H243" i="20"/>
  <c r="H242" i="20"/>
  <c r="H241" i="20"/>
  <c r="H240" i="20"/>
  <c r="H239" i="20"/>
  <c r="H238" i="20"/>
  <c r="H237" i="20"/>
  <c r="H236" i="20"/>
  <c r="H235" i="20"/>
  <c r="H234" i="20"/>
  <c r="H233" i="20"/>
  <c r="H232" i="20"/>
  <c r="H231" i="20"/>
  <c r="H230" i="20"/>
  <c r="H229" i="20"/>
  <c r="H228" i="20"/>
  <c r="H227" i="20"/>
  <c r="H226" i="20"/>
  <c r="H225" i="20"/>
  <c r="H224" i="20"/>
  <c r="H223" i="20"/>
  <c r="H222" i="20"/>
  <c r="H221" i="20"/>
  <c r="H220" i="20"/>
  <c r="H219" i="20"/>
  <c r="H218" i="20"/>
  <c r="H217" i="20"/>
  <c r="H216" i="20"/>
  <c r="H215" i="20"/>
  <c r="H214" i="20"/>
  <c r="H213" i="20"/>
  <c r="H212" i="20"/>
  <c r="H211" i="20"/>
  <c r="H210" i="20"/>
  <c r="H209" i="20"/>
  <c r="H208" i="20"/>
  <c r="H207" i="20"/>
  <c r="H206" i="20"/>
  <c r="H205" i="20"/>
  <c r="H204" i="20"/>
  <c r="H203" i="20"/>
  <c r="H202" i="20"/>
  <c r="H201" i="20"/>
  <c r="H200" i="20"/>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50" i="20"/>
  <c r="H149" i="20"/>
  <c r="H148" i="20"/>
  <c r="H147"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D5" i="19"/>
  <c r="D7" i="19" s="1"/>
  <c r="C4" i="19"/>
  <c r="C7" i="19" s="1"/>
  <c r="F16" i="19"/>
  <c r="F17" i="19"/>
  <c r="F18" i="19"/>
  <c r="F15" i="19"/>
  <c r="D19" i="19"/>
  <c r="C19" i="19"/>
  <c r="F19" i="19" s="1"/>
  <c r="Q18" i="22" l="1"/>
  <c r="Q22" i="22" s="1"/>
  <c r="Q19" i="22"/>
  <c r="Q20" i="22"/>
  <c r="X179" i="1"/>
  <c r="X180" i="1"/>
  <c r="X181" i="1"/>
  <c r="X182" i="1"/>
  <c r="X183" i="1"/>
  <c r="X184" i="1"/>
  <c r="X185" i="1"/>
  <c r="X186" i="1"/>
  <c r="X187" i="1"/>
  <c r="X188" i="1"/>
  <c r="X189" i="1"/>
  <c r="X190" i="1"/>
  <c r="X191" i="1"/>
  <c r="X192" i="1"/>
  <c r="X193" i="1"/>
  <c r="X194" i="1"/>
  <c r="G18" i="8"/>
  <c r="G21" i="8"/>
  <c r="G14" i="8"/>
  <c r="I283" i="1" s="1"/>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3" i="10"/>
  <c r="K242" i="10"/>
  <c r="K241" i="10"/>
  <c r="K240" i="10"/>
  <c r="K239" i="10"/>
  <c r="K238" i="10"/>
  <c r="K237" i="10"/>
  <c r="K236" i="10"/>
  <c r="K235" i="10"/>
  <c r="K234" i="10"/>
  <c r="K233" i="10"/>
  <c r="K232" i="10"/>
  <c r="K231" i="10"/>
  <c r="K230" i="10"/>
  <c r="K229" i="10"/>
  <c r="K228" i="10"/>
  <c r="K227" i="10"/>
  <c r="K226" i="10"/>
  <c r="K225" i="10"/>
  <c r="K224" i="10"/>
  <c r="K223" i="10"/>
  <c r="K222" i="10"/>
  <c r="K221" i="10"/>
  <c r="K220" i="10"/>
  <c r="K219" i="10"/>
  <c r="K218" i="10"/>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 r="E18" i="24" l="1"/>
  <c r="N249" i="10"/>
  <c r="D6" i="37"/>
  <c r="C4" i="37"/>
  <c r="D4" i="37"/>
  <c r="U12" i="24"/>
  <c r="T12" i="24"/>
  <c r="S12" i="24"/>
  <c r="R12" i="24"/>
  <c r="Q12" i="24"/>
  <c r="P12" i="24"/>
  <c r="O12" i="24"/>
  <c r="N12" i="24"/>
  <c r="M12" i="24"/>
  <c r="L12" i="24"/>
  <c r="K12" i="24"/>
  <c r="J12" i="24"/>
  <c r="I12" i="24"/>
  <c r="H12" i="24"/>
  <c r="G12" i="24"/>
  <c r="F12" i="24"/>
  <c r="E12" i="24"/>
  <c r="H283" i="10"/>
  <c r="H282" i="10"/>
  <c r="H281" i="10"/>
  <c r="H280" i="10"/>
  <c r="H279" i="10"/>
  <c r="H278" i="10"/>
  <c r="H277" i="10"/>
  <c r="H276" i="10"/>
  <c r="H275" i="10"/>
  <c r="H274" i="10"/>
  <c r="H273" i="10"/>
  <c r="H272" i="10"/>
  <c r="H271" i="10"/>
  <c r="H270" i="10"/>
  <c r="H269" i="10"/>
  <c r="H268" i="10"/>
  <c r="H267" i="10"/>
  <c r="H266" i="10"/>
  <c r="H265" i="10"/>
  <c r="H264" i="10"/>
  <c r="H263" i="10"/>
  <c r="H262" i="10"/>
  <c r="H261" i="10"/>
  <c r="H260" i="10"/>
  <c r="H259" i="10"/>
  <c r="H258" i="10"/>
  <c r="H257" i="10"/>
  <c r="H256" i="10"/>
  <c r="H255" i="10"/>
  <c r="H254" i="10"/>
  <c r="H253" i="10"/>
  <c r="H252" i="10"/>
  <c r="H251" i="10"/>
  <c r="H250" i="10"/>
  <c r="H249" i="10"/>
  <c r="H248" i="10"/>
  <c r="H247" i="10"/>
  <c r="H246" i="10"/>
  <c r="H245" i="10"/>
  <c r="H244" i="10"/>
  <c r="H243" i="10"/>
  <c r="H242" i="10"/>
  <c r="H241" i="10"/>
  <c r="H240" i="10"/>
  <c r="H239" i="10"/>
  <c r="H238" i="10"/>
  <c r="H237" i="10"/>
  <c r="H236" i="10"/>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5" i="10"/>
  <c r="O283" i="34" l="1"/>
  <c r="P283" i="34" s="1"/>
  <c r="N283" i="34"/>
  <c r="M283" i="34"/>
  <c r="L283" i="34"/>
  <c r="K283" i="34"/>
  <c r="J283" i="34"/>
  <c r="I283" i="34"/>
  <c r="H283" i="34"/>
  <c r="G283" i="34"/>
  <c r="F283" i="34"/>
  <c r="E283" i="34"/>
  <c r="D282" i="34"/>
  <c r="D281" i="34"/>
  <c r="D280" i="34"/>
  <c r="D279" i="34"/>
  <c r="D278" i="34"/>
  <c r="D277" i="34"/>
  <c r="D276" i="34"/>
  <c r="D275" i="34"/>
  <c r="D274" i="34"/>
  <c r="D273" i="34"/>
  <c r="D272" i="34"/>
  <c r="D271" i="34"/>
  <c r="D270" i="34"/>
  <c r="D269" i="34"/>
  <c r="D268" i="34"/>
  <c r="D267" i="34"/>
  <c r="D266" i="34"/>
  <c r="D265" i="34"/>
  <c r="D264" i="34"/>
  <c r="D263" i="34"/>
  <c r="D262" i="34"/>
  <c r="D261" i="34"/>
  <c r="D260" i="34"/>
  <c r="D259" i="34"/>
  <c r="D258" i="34"/>
  <c r="D257" i="34"/>
  <c r="D256" i="34"/>
  <c r="D255" i="34"/>
  <c r="D254" i="34"/>
  <c r="D253" i="34"/>
  <c r="D252" i="34"/>
  <c r="D251" i="34"/>
  <c r="D250" i="34"/>
  <c r="D249" i="34"/>
  <c r="D248" i="34"/>
  <c r="D247" i="34"/>
  <c r="D246" i="34"/>
  <c r="D245" i="34"/>
  <c r="D244" i="34"/>
  <c r="D243" i="34"/>
  <c r="D242" i="34"/>
  <c r="D241" i="34"/>
  <c r="D240" i="34"/>
  <c r="D239" i="34"/>
  <c r="D238" i="34"/>
  <c r="D237" i="34"/>
  <c r="D236" i="34"/>
  <c r="D235" i="34"/>
  <c r="D234" i="34"/>
  <c r="D233" i="34"/>
  <c r="D232" i="34"/>
  <c r="D231" i="34"/>
  <c r="D230" i="34"/>
  <c r="D229" i="34"/>
  <c r="D228" i="34"/>
  <c r="D227" i="34"/>
  <c r="D226" i="34"/>
  <c r="D225" i="34"/>
  <c r="D224" i="34"/>
  <c r="D223" i="34"/>
  <c r="D222" i="34"/>
  <c r="D221" i="34"/>
  <c r="D220" i="34"/>
  <c r="D219" i="34"/>
  <c r="D218" i="34"/>
  <c r="D217" i="34"/>
  <c r="D216" i="34"/>
  <c r="D215" i="34"/>
  <c r="D214" i="34"/>
  <c r="D213" i="34"/>
  <c r="D212" i="34"/>
  <c r="D211" i="34"/>
  <c r="D210" i="34"/>
  <c r="D209" i="34"/>
  <c r="D208" i="34"/>
  <c r="D207" i="34"/>
  <c r="D206" i="34"/>
  <c r="D205" i="34"/>
  <c r="D204" i="34"/>
  <c r="D203" i="34"/>
  <c r="D202" i="34"/>
  <c r="D201" i="34"/>
  <c r="D200" i="34"/>
  <c r="D199" i="34"/>
  <c r="D198" i="34"/>
  <c r="D197" i="34"/>
  <c r="D196" i="34"/>
  <c r="D195" i="34"/>
  <c r="D194" i="34"/>
  <c r="D193" i="34"/>
  <c r="D192" i="34"/>
  <c r="D191" i="34"/>
  <c r="D190" i="34"/>
  <c r="D189" i="34"/>
  <c r="D188" i="34"/>
  <c r="D187" i="34"/>
  <c r="D186" i="34"/>
  <c r="D185" i="34"/>
  <c r="D184" i="34"/>
  <c r="D183" i="34"/>
  <c r="D182" i="34"/>
  <c r="D181" i="34"/>
  <c r="D180" i="34"/>
  <c r="D179" i="34"/>
  <c r="D178" i="34"/>
  <c r="D177" i="34"/>
  <c r="D176" i="34"/>
  <c r="D175" i="34"/>
  <c r="D174" i="34"/>
  <c r="D173" i="34"/>
  <c r="D172" i="34"/>
  <c r="D171" i="34"/>
  <c r="D170" i="34"/>
  <c r="D169" i="34"/>
  <c r="D168" i="34"/>
  <c r="D167" i="34"/>
  <c r="D166" i="34"/>
  <c r="D165" i="34"/>
  <c r="D164" i="34"/>
  <c r="D163" i="34"/>
  <c r="D162" i="34"/>
  <c r="D161" i="34"/>
  <c r="D160" i="34"/>
  <c r="D159" i="34"/>
  <c r="D158" i="34"/>
  <c r="D157" i="34"/>
  <c r="D156" i="34"/>
  <c r="D155" i="34"/>
  <c r="D154" i="34"/>
  <c r="D153" i="34"/>
  <c r="D152" i="34"/>
  <c r="D151" i="34"/>
  <c r="D150" i="34"/>
  <c r="D149" i="34"/>
  <c r="D148" i="34"/>
  <c r="D147" i="34"/>
  <c r="D146" i="34"/>
  <c r="D145" i="34"/>
  <c r="D144" i="34"/>
  <c r="D143" i="34"/>
  <c r="D142" i="34"/>
  <c r="D141" i="34"/>
  <c r="D140" i="34"/>
  <c r="D139" i="34"/>
  <c r="D138" i="34"/>
  <c r="D137" i="34"/>
  <c r="D136" i="34"/>
  <c r="D135" i="34"/>
  <c r="D134" i="34"/>
  <c r="D133" i="34"/>
  <c r="D132" i="34"/>
  <c r="D131" i="34"/>
  <c r="D130" i="34"/>
  <c r="D129" i="34"/>
  <c r="D128" i="34"/>
  <c r="D127" i="34"/>
  <c r="D126" i="34"/>
  <c r="D125" i="34"/>
  <c r="D124" i="34"/>
  <c r="D123" i="34"/>
  <c r="D122" i="34"/>
  <c r="D121" i="34"/>
  <c r="D120" i="34"/>
  <c r="D119" i="34"/>
  <c r="D118" i="34"/>
  <c r="D117" i="34"/>
  <c r="D116" i="34"/>
  <c r="D115" i="34"/>
  <c r="D114" i="34"/>
  <c r="D113" i="34"/>
  <c r="D112" i="34"/>
  <c r="D111" i="34"/>
  <c r="D110" i="34"/>
  <c r="D109" i="34"/>
  <c r="D108" i="34"/>
  <c r="D107" i="34"/>
  <c r="D106" i="34"/>
  <c r="D105" i="34"/>
  <c r="D104" i="34"/>
  <c r="D103" i="34"/>
  <c r="D102" i="34"/>
  <c r="D101" i="34"/>
  <c r="D100" i="34"/>
  <c r="D99" i="34"/>
  <c r="D98" i="34"/>
  <c r="D97" i="34"/>
  <c r="D96" i="34"/>
  <c r="D95" i="34"/>
  <c r="D94" i="34"/>
  <c r="D93" i="34"/>
  <c r="D92" i="34"/>
  <c r="D91" i="34"/>
  <c r="D90" i="34"/>
  <c r="D89" i="34"/>
  <c r="D88" i="34"/>
  <c r="D87" i="34"/>
  <c r="D86" i="34"/>
  <c r="D85" i="34"/>
  <c r="D84" i="34"/>
  <c r="D83" i="34"/>
  <c r="D82" i="34"/>
  <c r="D81" i="34"/>
  <c r="D80" i="34"/>
  <c r="D79" i="34"/>
  <c r="D78" i="34"/>
  <c r="D77" i="34"/>
  <c r="D76" i="34"/>
  <c r="D75" i="34"/>
  <c r="D74" i="34"/>
  <c r="D73" i="34"/>
  <c r="D72" i="34"/>
  <c r="D71" i="34"/>
  <c r="D70" i="34"/>
  <c r="D68" i="34"/>
  <c r="D67" i="34"/>
  <c r="D66" i="34"/>
  <c r="D65" i="34"/>
  <c r="D64" i="34"/>
  <c r="D63" i="34"/>
  <c r="D62" i="34"/>
  <c r="D61" i="34"/>
  <c r="D60" i="34"/>
  <c r="D59" i="34"/>
  <c r="D58" i="34"/>
  <c r="D57" i="34"/>
  <c r="D56" i="34"/>
  <c r="D55" i="34"/>
  <c r="D54" i="34"/>
  <c r="D53" i="34"/>
  <c r="D52" i="34"/>
  <c r="D51" i="34"/>
  <c r="D50" i="34"/>
  <c r="D49" i="34"/>
  <c r="D48" i="34"/>
  <c r="D47" i="34"/>
  <c r="D46" i="34"/>
  <c r="D45" i="34"/>
  <c r="D44" i="34"/>
  <c r="D43" i="34"/>
  <c r="D42" i="34"/>
  <c r="D41" i="34"/>
  <c r="D40" i="34"/>
  <c r="D39" i="34"/>
  <c r="D38" i="34"/>
  <c r="D37" i="34"/>
  <c r="D36" i="34"/>
  <c r="D35" i="34"/>
  <c r="D33" i="34"/>
  <c r="D32" i="34"/>
  <c r="D31" i="34"/>
  <c r="D30" i="34"/>
  <c r="D29" i="34"/>
  <c r="D28" i="34"/>
  <c r="D27" i="34"/>
  <c r="D26" i="34"/>
  <c r="D25" i="34"/>
  <c r="D24" i="34"/>
  <c r="D23" i="34"/>
  <c r="D22" i="34"/>
  <c r="D21" i="34"/>
  <c r="D20" i="34"/>
  <c r="D19" i="34"/>
  <c r="D18" i="34"/>
  <c r="D17" i="34"/>
  <c r="D16" i="34"/>
  <c r="D15" i="34"/>
  <c r="D14" i="34"/>
  <c r="D13" i="34"/>
  <c r="D12" i="34"/>
  <c r="D11" i="34"/>
  <c r="D10" i="34"/>
  <c r="D9" i="34"/>
  <c r="D8" i="34"/>
  <c r="D7" i="34"/>
  <c r="D6" i="34"/>
  <c r="D5" i="34"/>
  <c r="D4" i="34"/>
  <c r="O282" i="34"/>
  <c r="N282" i="34"/>
  <c r="M282" i="34"/>
  <c r="L282" i="34"/>
  <c r="K282" i="34"/>
  <c r="J282" i="34"/>
  <c r="I282" i="34"/>
  <c r="H282" i="34"/>
  <c r="G282" i="34"/>
  <c r="F282" i="34"/>
  <c r="E282" i="34"/>
  <c r="O281" i="34"/>
  <c r="N281" i="34"/>
  <c r="M281" i="34"/>
  <c r="L281" i="34"/>
  <c r="K281" i="34"/>
  <c r="J281" i="34"/>
  <c r="I281" i="34"/>
  <c r="H281" i="34"/>
  <c r="G281" i="34"/>
  <c r="F281" i="34"/>
  <c r="E281" i="34"/>
  <c r="O280" i="34"/>
  <c r="N280" i="34"/>
  <c r="M280" i="34"/>
  <c r="L280" i="34"/>
  <c r="K280" i="34"/>
  <c r="J280" i="34"/>
  <c r="I280" i="34"/>
  <c r="H280" i="34"/>
  <c r="G280" i="34"/>
  <c r="F280" i="34"/>
  <c r="E280" i="34"/>
  <c r="O279" i="34"/>
  <c r="N279" i="34"/>
  <c r="M279" i="34"/>
  <c r="L279" i="34"/>
  <c r="K279" i="34"/>
  <c r="J279" i="34"/>
  <c r="I279" i="34"/>
  <c r="H279" i="34"/>
  <c r="G279" i="34"/>
  <c r="F279" i="34"/>
  <c r="E279" i="34"/>
  <c r="O278" i="34"/>
  <c r="N278" i="34"/>
  <c r="M278" i="34"/>
  <c r="L278" i="34"/>
  <c r="K278" i="34"/>
  <c r="J278" i="34"/>
  <c r="I278" i="34"/>
  <c r="H278" i="34"/>
  <c r="G278" i="34"/>
  <c r="F278" i="34"/>
  <c r="E278" i="34"/>
  <c r="O277" i="34"/>
  <c r="N277" i="34"/>
  <c r="M277" i="34"/>
  <c r="L277" i="34"/>
  <c r="K277" i="34"/>
  <c r="J277" i="34"/>
  <c r="I277" i="34"/>
  <c r="H277" i="34"/>
  <c r="G277" i="34"/>
  <c r="F277" i="34"/>
  <c r="E277" i="34"/>
  <c r="O276" i="34"/>
  <c r="N276" i="34"/>
  <c r="M276" i="34"/>
  <c r="L276" i="34"/>
  <c r="K276" i="34"/>
  <c r="J276" i="34"/>
  <c r="I276" i="34"/>
  <c r="H276" i="34"/>
  <c r="G276" i="34"/>
  <c r="F276" i="34"/>
  <c r="E276" i="34"/>
  <c r="O275" i="34"/>
  <c r="N275" i="34"/>
  <c r="M275" i="34"/>
  <c r="L275" i="34"/>
  <c r="K275" i="34"/>
  <c r="J275" i="34"/>
  <c r="I275" i="34"/>
  <c r="H275" i="34"/>
  <c r="G275" i="34"/>
  <c r="F275" i="34"/>
  <c r="E275" i="34"/>
  <c r="O274" i="34"/>
  <c r="N274" i="34"/>
  <c r="M274" i="34"/>
  <c r="L274" i="34"/>
  <c r="K274" i="34"/>
  <c r="J274" i="34"/>
  <c r="I274" i="34"/>
  <c r="H274" i="34"/>
  <c r="G274" i="34"/>
  <c r="F274" i="34"/>
  <c r="E274" i="34"/>
  <c r="O273" i="34"/>
  <c r="N273" i="34"/>
  <c r="M273" i="34"/>
  <c r="L273" i="34"/>
  <c r="K273" i="34"/>
  <c r="J273" i="34"/>
  <c r="I273" i="34"/>
  <c r="H273" i="34"/>
  <c r="G273" i="34"/>
  <c r="F273" i="34"/>
  <c r="E273" i="34"/>
  <c r="O272" i="34"/>
  <c r="N272" i="34"/>
  <c r="M272" i="34"/>
  <c r="L272" i="34"/>
  <c r="K272" i="34"/>
  <c r="J272" i="34"/>
  <c r="I272" i="34"/>
  <c r="H272" i="34"/>
  <c r="G272" i="34"/>
  <c r="F272" i="34"/>
  <c r="E272" i="34"/>
  <c r="O271" i="34"/>
  <c r="N271" i="34"/>
  <c r="M271" i="34"/>
  <c r="L271" i="34"/>
  <c r="K271" i="34"/>
  <c r="J271" i="34"/>
  <c r="I271" i="34"/>
  <c r="H271" i="34"/>
  <c r="G271" i="34"/>
  <c r="F271" i="34"/>
  <c r="E271" i="34"/>
  <c r="O270" i="34"/>
  <c r="N270" i="34"/>
  <c r="M270" i="34"/>
  <c r="L270" i="34"/>
  <c r="K270" i="34"/>
  <c r="J270" i="34"/>
  <c r="I270" i="34"/>
  <c r="H270" i="34"/>
  <c r="G270" i="34"/>
  <c r="F270" i="34"/>
  <c r="E270" i="34"/>
  <c r="O269" i="34"/>
  <c r="N269" i="34"/>
  <c r="M269" i="34"/>
  <c r="L269" i="34"/>
  <c r="K269" i="34"/>
  <c r="J269" i="34"/>
  <c r="I269" i="34"/>
  <c r="H269" i="34"/>
  <c r="G269" i="34"/>
  <c r="F269" i="34"/>
  <c r="E269" i="34"/>
  <c r="O268" i="34"/>
  <c r="N268" i="34"/>
  <c r="M268" i="34"/>
  <c r="L268" i="34"/>
  <c r="K268" i="34"/>
  <c r="J268" i="34"/>
  <c r="I268" i="34"/>
  <c r="H268" i="34"/>
  <c r="G268" i="34"/>
  <c r="F268" i="34"/>
  <c r="E268" i="34"/>
  <c r="O267" i="34"/>
  <c r="N267" i="34"/>
  <c r="M267" i="34"/>
  <c r="L267" i="34"/>
  <c r="K267" i="34"/>
  <c r="J267" i="34"/>
  <c r="I267" i="34"/>
  <c r="H267" i="34"/>
  <c r="G267" i="34"/>
  <c r="F267" i="34"/>
  <c r="E267" i="34"/>
  <c r="O266" i="34"/>
  <c r="N266" i="34"/>
  <c r="M266" i="34"/>
  <c r="L266" i="34"/>
  <c r="K266" i="34"/>
  <c r="J266" i="34"/>
  <c r="I266" i="34"/>
  <c r="H266" i="34"/>
  <c r="G266" i="34"/>
  <c r="F266" i="34"/>
  <c r="E266" i="34"/>
  <c r="O265" i="34"/>
  <c r="N265" i="34"/>
  <c r="M265" i="34"/>
  <c r="L265" i="34"/>
  <c r="K265" i="34"/>
  <c r="J265" i="34"/>
  <c r="I265" i="34"/>
  <c r="H265" i="34"/>
  <c r="G265" i="34"/>
  <c r="F265" i="34"/>
  <c r="E265" i="34"/>
  <c r="O264" i="34"/>
  <c r="N264" i="34"/>
  <c r="M264" i="34"/>
  <c r="L264" i="34"/>
  <c r="K264" i="34"/>
  <c r="J264" i="34"/>
  <c r="I264" i="34"/>
  <c r="H264" i="34"/>
  <c r="G264" i="34"/>
  <c r="F264" i="34"/>
  <c r="E264" i="34"/>
  <c r="O263" i="34"/>
  <c r="N263" i="34"/>
  <c r="M263" i="34"/>
  <c r="L263" i="34"/>
  <c r="K263" i="34"/>
  <c r="J263" i="34"/>
  <c r="I263" i="34"/>
  <c r="H263" i="34"/>
  <c r="G263" i="34"/>
  <c r="F263" i="34"/>
  <c r="E263" i="34"/>
  <c r="O262" i="34"/>
  <c r="N262" i="34"/>
  <c r="M262" i="34"/>
  <c r="L262" i="34"/>
  <c r="K262" i="34"/>
  <c r="J262" i="34"/>
  <c r="I262" i="34"/>
  <c r="H262" i="34"/>
  <c r="G262" i="34"/>
  <c r="F262" i="34"/>
  <c r="E262" i="34"/>
  <c r="O261" i="34"/>
  <c r="N261" i="34"/>
  <c r="M261" i="34"/>
  <c r="L261" i="34"/>
  <c r="K261" i="34"/>
  <c r="J261" i="34"/>
  <c r="I261" i="34"/>
  <c r="H261" i="34"/>
  <c r="G261" i="34"/>
  <c r="F261" i="34"/>
  <c r="E261" i="34"/>
  <c r="O260" i="34"/>
  <c r="N260" i="34"/>
  <c r="M260" i="34"/>
  <c r="L260" i="34"/>
  <c r="K260" i="34"/>
  <c r="J260" i="34"/>
  <c r="I260" i="34"/>
  <c r="H260" i="34"/>
  <c r="G260" i="34"/>
  <c r="F260" i="34"/>
  <c r="E260" i="34"/>
  <c r="O259" i="34"/>
  <c r="N259" i="34"/>
  <c r="M259" i="34"/>
  <c r="L259" i="34"/>
  <c r="K259" i="34"/>
  <c r="J259" i="34"/>
  <c r="I259" i="34"/>
  <c r="H259" i="34"/>
  <c r="G259" i="34"/>
  <c r="F259" i="34"/>
  <c r="E259" i="34"/>
  <c r="O258" i="34"/>
  <c r="N258" i="34"/>
  <c r="M258" i="34"/>
  <c r="L258" i="34"/>
  <c r="K258" i="34"/>
  <c r="J258" i="34"/>
  <c r="I258" i="34"/>
  <c r="H258" i="34"/>
  <c r="G258" i="34"/>
  <c r="F258" i="34"/>
  <c r="E258" i="34"/>
  <c r="O257" i="34"/>
  <c r="N257" i="34"/>
  <c r="M257" i="34"/>
  <c r="L257" i="34"/>
  <c r="K257" i="34"/>
  <c r="J257" i="34"/>
  <c r="I257" i="34"/>
  <c r="H257" i="34"/>
  <c r="G257" i="34"/>
  <c r="F257" i="34"/>
  <c r="E257" i="34"/>
  <c r="P257" i="34" s="1"/>
  <c r="O256" i="34"/>
  <c r="N256" i="34"/>
  <c r="M256" i="34"/>
  <c r="L256" i="34"/>
  <c r="K256" i="34"/>
  <c r="J256" i="34"/>
  <c r="I256" i="34"/>
  <c r="H256" i="34"/>
  <c r="G256" i="34"/>
  <c r="F256" i="34"/>
  <c r="E256" i="34"/>
  <c r="O255" i="34"/>
  <c r="N255" i="34"/>
  <c r="M255" i="34"/>
  <c r="L255" i="34"/>
  <c r="K255" i="34"/>
  <c r="J255" i="34"/>
  <c r="I255" i="34"/>
  <c r="H255" i="34"/>
  <c r="G255" i="34"/>
  <c r="F255" i="34"/>
  <c r="E255" i="34"/>
  <c r="O254" i="34"/>
  <c r="N254" i="34"/>
  <c r="M254" i="34"/>
  <c r="L254" i="34"/>
  <c r="K254" i="34"/>
  <c r="J254" i="34"/>
  <c r="I254" i="34"/>
  <c r="H254" i="34"/>
  <c r="G254" i="34"/>
  <c r="F254" i="34"/>
  <c r="E254" i="34"/>
  <c r="O253" i="34"/>
  <c r="N253" i="34"/>
  <c r="M253" i="34"/>
  <c r="L253" i="34"/>
  <c r="K253" i="34"/>
  <c r="J253" i="34"/>
  <c r="I253" i="34"/>
  <c r="H253" i="34"/>
  <c r="G253" i="34"/>
  <c r="F253" i="34"/>
  <c r="E253" i="34"/>
  <c r="O252" i="34"/>
  <c r="N252" i="34"/>
  <c r="M252" i="34"/>
  <c r="L252" i="34"/>
  <c r="K252" i="34"/>
  <c r="J252" i="34"/>
  <c r="I252" i="34"/>
  <c r="H252" i="34"/>
  <c r="G252" i="34"/>
  <c r="F252" i="34"/>
  <c r="E252" i="34"/>
  <c r="O251" i="34"/>
  <c r="N251" i="34"/>
  <c r="M251" i="34"/>
  <c r="L251" i="34"/>
  <c r="K251" i="34"/>
  <c r="J251" i="34"/>
  <c r="I251" i="34"/>
  <c r="H251" i="34"/>
  <c r="G251" i="34"/>
  <c r="F251" i="34"/>
  <c r="E251" i="34"/>
  <c r="O250" i="34"/>
  <c r="N250" i="34"/>
  <c r="M250" i="34"/>
  <c r="L250" i="34"/>
  <c r="K250" i="34"/>
  <c r="J250" i="34"/>
  <c r="I250" i="34"/>
  <c r="H250" i="34"/>
  <c r="G250" i="34"/>
  <c r="F250" i="34"/>
  <c r="E250" i="34"/>
  <c r="O249" i="34"/>
  <c r="N249" i="34"/>
  <c r="M249" i="34"/>
  <c r="L249" i="34"/>
  <c r="K249" i="34"/>
  <c r="J249" i="34"/>
  <c r="I249" i="34"/>
  <c r="H249" i="34"/>
  <c r="G249" i="34"/>
  <c r="F249" i="34"/>
  <c r="E249" i="34"/>
  <c r="O248" i="34"/>
  <c r="N248" i="34"/>
  <c r="M248" i="34"/>
  <c r="L248" i="34"/>
  <c r="K248" i="34"/>
  <c r="J248" i="34"/>
  <c r="I248" i="34"/>
  <c r="H248" i="34"/>
  <c r="G248" i="34"/>
  <c r="F248" i="34"/>
  <c r="E248" i="34"/>
  <c r="O247" i="34"/>
  <c r="N247" i="34"/>
  <c r="M247" i="34"/>
  <c r="L247" i="34"/>
  <c r="K247" i="34"/>
  <c r="J247" i="34"/>
  <c r="I247" i="34"/>
  <c r="H247" i="34"/>
  <c r="G247" i="34"/>
  <c r="F247" i="34"/>
  <c r="E247" i="34"/>
  <c r="O246" i="34"/>
  <c r="N246" i="34"/>
  <c r="M246" i="34"/>
  <c r="L246" i="34"/>
  <c r="K246" i="34"/>
  <c r="J246" i="34"/>
  <c r="I246" i="34"/>
  <c r="H246" i="34"/>
  <c r="G246" i="34"/>
  <c r="F246" i="34"/>
  <c r="E246" i="34"/>
  <c r="O245" i="34"/>
  <c r="N245" i="34"/>
  <c r="M245" i="34"/>
  <c r="L245" i="34"/>
  <c r="K245" i="34"/>
  <c r="J245" i="34"/>
  <c r="I245" i="34"/>
  <c r="H245" i="34"/>
  <c r="G245" i="34"/>
  <c r="F245" i="34"/>
  <c r="E245" i="34"/>
  <c r="O244" i="34"/>
  <c r="N244" i="34"/>
  <c r="M244" i="34"/>
  <c r="L244" i="34"/>
  <c r="K244" i="34"/>
  <c r="J244" i="34"/>
  <c r="I244" i="34"/>
  <c r="H244" i="34"/>
  <c r="G244" i="34"/>
  <c r="F244" i="34"/>
  <c r="E244" i="34"/>
  <c r="O243" i="34"/>
  <c r="N243" i="34"/>
  <c r="M243" i="34"/>
  <c r="L243" i="34"/>
  <c r="K243" i="34"/>
  <c r="J243" i="34"/>
  <c r="I243" i="34"/>
  <c r="H243" i="34"/>
  <c r="G243" i="34"/>
  <c r="F243" i="34"/>
  <c r="E243" i="34"/>
  <c r="O242" i="34"/>
  <c r="N242" i="34"/>
  <c r="M242" i="34"/>
  <c r="L242" i="34"/>
  <c r="K242" i="34"/>
  <c r="J242" i="34"/>
  <c r="I242" i="34"/>
  <c r="H242" i="34"/>
  <c r="G242" i="34"/>
  <c r="F242" i="34"/>
  <c r="E242" i="34"/>
  <c r="O241" i="34"/>
  <c r="N241" i="34"/>
  <c r="M241" i="34"/>
  <c r="L241" i="34"/>
  <c r="K241" i="34"/>
  <c r="J241" i="34"/>
  <c r="I241" i="34"/>
  <c r="H241" i="34"/>
  <c r="G241" i="34"/>
  <c r="F241" i="34"/>
  <c r="E241" i="34"/>
  <c r="O240" i="34"/>
  <c r="N240" i="34"/>
  <c r="M240" i="34"/>
  <c r="L240" i="34"/>
  <c r="K240" i="34"/>
  <c r="J240" i="34"/>
  <c r="I240" i="34"/>
  <c r="H240" i="34"/>
  <c r="G240" i="34"/>
  <c r="F240" i="34"/>
  <c r="E240" i="34"/>
  <c r="O239" i="34"/>
  <c r="N239" i="34"/>
  <c r="M239" i="34"/>
  <c r="L239" i="34"/>
  <c r="K239" i="34"/>
  <c r="J239" i="34"/>
  <c r="I239" i="34"/>
  <c r="H239" i="34"/>
  <c r="G239" i="34"/>
  <c r="F239" i="34"/>
  <c r="E239" i="34"/>
  <c r="O238" i="34"/>
  <c r="N238" i="34"/>
  <c r="M238" i="34"/>
  <c r="L238" i="34"/>
  <c r="K238" i="34"/>
  <c r="J238" i="34"/>
  <c r="I238" i="34"/>
  <c r="H238" i="34"/>
  <c r="G238" i="34"/>
  <c r="F238" i="34"/>
  <c r="E238" i="34"/>
  <c r="O237" i="34"/>
  <c r="N237" i="34"/>
  <c r="M237" i="34"/>
  <c r="L237" i="34"/>
  <c r="K237" i="34"/>
  <c r="J237" i="34"/>
  <c r="I237" i="34"/>
  <c r="H237" i="34"/>
  <c r="G237" i="34"/>
  <c r="F237" i="34"/>
  <c r="E237" i="34"/>
  <c r="O236" i="34"/>
  <c r="N236" i="34"/>
  <c r="M236" i="34"/>
  <c r="L236" i="34"/>
  <c r="K236" i="34"/>
  <c r="J236" i="34"/>
  <c r="I236" i="34"/>
  <c r="H236" i="34"/>
  <c r="G236" i="34"/>
  <c r="F236" i="34"/>
  <c r="E236" i="34"/>
  <c r="O235" i="34"/>
  <c r="N235" i="34"/>
  <c r="M235" i="34"/>
  <c r="L235" i="34"/>
  <c r="K235" i="34"/>
  <c r="J235" i="34"/>
  <c r="I235" i="34"/>
  <c r="H235" i="34"/>
  <c r="G235" i="34"/>
  <c r="F235" i="34"/>
  <c r="E235" i="34"/>
  <c r="O234" i="34"/>
  <c r="N234" i="34"/>
  <c r="M234" i="34"/>
  <c r="L234" i="34"/>
  <c r="K234" i="34"/>
  <c r="J234" i="34"/>
  <c r="I234" i="34"/>
  <c r="H234" i="34"/>
  <c r="G234" i="34"/>
  <c r="F234" i="34"/>
  <c r="E234" i="34"/>
  <c r="O233" i="34"/>
  <c r="N233" i="34"/>
  <c r="M233" i="34"/>
  <c r="L233" i="34"/>
  <c r="K233" i="34"/>
  <c r="J233" i="34"/>
  <c r="I233" i="34"/>
  <c r="H233" i="34"/>
  <c r="G233" i="34"/>
  <c r="F233" i="34"/>
  <c r="E233" i="34"/>
  <c r="P233" i="34" s="1"/>
  <c r="O232" i="34"/>
  <c r="N232" i="34"/>
  <c r="M232" i="34"/>
  <c r="L232" i="34"/>
  <c r="K232" i="34"/>
  <c r="J232" i="34"/>
  <c r="I232" i="34"/>
  <c r="H232" i="34"/>
  <c r="G232" i="34"/>
  <c r="F232" i="34"/>
  <c r="E232" i="34"/>
  <c r="O231" i="34"/>
  <c r="N231" i="34"/>
  <c r="M231" i="34"/>
  <c r="L231" i="34"/>
  <c r="K231" i="34"/>
  <c r="J231" i="34"/>
  <c r="I231" i="34"/>
  <c r="H231" i="34"/>
  <c r="G231" i="34"/>
  <c r="F231" i="34"/>
  <c r="E231" i="34"/>
  <c r="O230" i="34"/>
  <c r="N230" i="34"/>
  <c r="M230" i="34"/>
  <c r="L230" i="34"/>
  <c r="K230" i="34"/>
  <c r="J230" i="34"/>
  <c r="I230" i="34"/>
  <c r="H230" i="34"/>
  <c r="G230" i="34"/>
  <c r="F230" i="34"/>
  <c r="E230" i="34"/>
  <c r="O229" i="34"/>
  <c r="N229" i="34"/>
  <c r="M229" i="34"/>
  <c r="L229" i="34"/>
  <c r="K229" i="34"/>
  <c r="J229" i="34"/>
  <c r="I229" i="34"/>
  <c r="H229" i="34"/>
  <c r="G229" i="34"/>
  <c r="F229" i="34"/>
  <c r="E229" i="34"/>
  <c r="O228" i="34"/>
  <c r="N228" i="34"/>
  <c r="M228" i="34"/>
  <c r="L228" i="34"/>
  <c r="K228" i="34"/>
  <c r="J228" i="34"/>
  <c r="I228" i="34"/>
  <c r="H228" i="34"/>
  <c r="G228" i="34"/>
  <c r="F228" i="34"/>
  <c r="E228" i="34"/>
  <c r="O227" i="34"/>
  <c r="N227" i="34"/>
  <c r="M227" i="34"/>
  <c r="L227" i="34"/>
  <c r="K227" i="34"/>
  <c r="J227" i="34"/>
  <c r="I227" i="34"/>
  <c r="H227" i="34"/>
  <c r="G227" i="34"/>
  <c r="F227" i="34"/>
  <c r="E227" i="34"/>
  <c r="O226" i="34"/>
  <c r="N226" i="34"/>
  <c r="M226" i="34"/>
  <c r="L226" i="34"/>
  <c r="K226" i="34"/>
  <c r="J226" i="34"/>
  <c r="I226" i="34"/>
  <c r="H226" i="34"/>
  <c r="G226" i="34"/>
  <c r="F226" i="34"/>
  <c r="E226" i="34"/>
  <c r="O225" i="34"/>
  <c r="N225" i="34"/>
  <c r="M225" i="34"/>
  <c r="L225" i="34"/>
  <c r="K225" i="34"/>
  <c r="J225" i="34"/>
  <c r="I225" i="34"/>
  <c r="H225" i="34"/>
  <c r="G225" i="34"/>
  <c r="F225" i="34"/>
  <c r="E225" i="34"/>
  <c r="O224" i="34"/>
  <c r="N224" i="34"/>
  <c r="M224" i="34"/>
  <c r="L224" i="34"/>
  <c r="K224" i="34"/>
  <c r="J224" i="34"/>
  <c r="I224" i="34"/>
  <c r="H224" i="34"/>
  <c r="G224" i="34"/>
  <c r="F224" i="34"/>
  <c r="E224" i="34"/>
  <c r="O223" i="34"/>
  <c r="N223" i="34"/>
  <c r="M223" i="34"/>
  <c r="L223" i="34"/>
  <c r="K223" i="34"/>
  <c r="J223" i="34"/>
  <c r="I223" i="34"/>
  <c r="H223" i="34"/>
  <c r="G223" i="34"/>
  <c r="F223" i="34"/>
  <c r="E223" i="34"/>
  <c r="O222" i="34"/>
  <c r="N222" i="34"/>
  <c r="M222" i="34"/>
  <c r="L222" i="34"/>
  <c r="K222" i="34"/>
  <c r="J222" i="34"/>
  <c r="I222" i="34"/>
  <c r="H222" i="34"/>
  <c r="G222" i="34"/>
  <c r="F222" i="34"/>
  <c r="E222" i="34"/>
  <c r="O221" i="34"/>
  <c r="N221" i="34"/>
  <c r="M221" i="34"/>
  <c r="L221" i="34"/>
  <c r="K221" i="34"/>
  <c r="J221" i="34"/>
  <c r="I221" i="34"/>
  <c r="H221" i="34"/>
  <c r="G221" i="34"/>
  <c r="F221" i="34"/>
  <c r="E221" i="34"/>
  <c r="O220" i="34"/>
  <c r="N220" i="34"/>
  <c r="M220" i="34"/>
  <c r="L220" i="34"/>
  <c r="K220" i="34"/>
  <c r="J220" i="34"/>
  <c r="I220" i="34"/>
  <c r="H220" i="34"/>
  <c r="G220" i="34"/>
  <c r="F220" i="34"/>
  <c r="E220" i="34"/>
  <c r="O219" i="34"/>
  <c r="N219" i="34"/>
  <c r="M219" i="34"/>
  <c r="L219" i="34"/>
  <c r="K219" i="34"/>
  <c r="J219" i="34"/>
  <c r="I219" i="34"/>
  <c r="H219" i="34"/>
  <c r="G219" i="34"/>
  <c r="F219" i="34"/>
  <c r="E219" i="34"/>
  <c r="O218" i="34"/>
  <c r="N218" i="34"/>
  <c r="M218" i="34"/>
  <c r="L218" i="34"/>
  <c r="K218" i="34"/>
  <c r="J218" i="34"/>
  <c r="I218" i="34"/>
  <c r="H218" i="34"/>
  <c r="G218" i="34"/>
  <c r="F218" i="34"/>
  <c r="E218" i="34"/>
  <c r="O217" i="34"/>
  <c r="N217" i="34"/>
  <c r="M217" i="34"/>
  <c r="L217" i="34"/>
  <c r="K217" i="34"/>
  <c r="J217" i="34"/>
  <c r="I217" i="34"/>
  <c r="H217" i="34"/>
  <c r="G217" i="34"/>
  <c r="F217" i="34"/>
  <c r="E217" i="34"/>
  <c r="O216" i="34"/>
  <c r="N216" i="34"/>
  <c r="M216" i="34"/>
  <c r="L216" i="34"/>
  <c r="K216" i="34"/>
  <c r="J216" i="34"/>
  <c r="I216" i="34"/>
  <c r="H216" i="34"/>
  <c r="G216" i="34"/>
  <c r="F216" i="34"/>
  <c r="E216" i="34"/>
  <c r="O215" i="34"/>
  <c r="N215" i="34"/>
  <c r="M215" i="34"/>
  <c r="L215" i="34"/>
  <c r="K215" i="34"/>
  <c r="J215" i="34"/>
  <c r="I215" i="34"/>
  <c r="H215" i="34"/>
  <c r="G215" i="34"/>
  <c r="F215" i="34"/>
  <c r="E215" i="34"/>
  <c r="O214" i="34"/>
  <c r="N214" i="34"/>
  <c r="M214" i="34"/>
  <c r="L214" i="34"/>
  <c r="K214" i="34"/>
  <c r="J214" i="34"/>
  <c r="I214" i="34"/>
  <c r="H214" i="34"/>
  <c r="G214" i="34"/>
  <c r="F214" i="34"/>
  <c r="E214" i="34"/>
  <c r="O213" i="34"/>
  <c r="N213" i="34"/>
  <c r="M213" i="34"/>
  <c r="L213" i="34"/>
  <c r="K213" i="34"/>
  <c r="J213" i="34"/>
  <c r="I213" i="34"/>
  <c r="H213" i="34"/>
  <c r="G213" i="34"/>
  <c r="F213" i="34"/>
  <c r="E213" i="34"/>
  <c r="O212" i="34"/>
  <c r="N212" i="34"/>
  <c r="M212" i="34"/>
  <c r="L212" i="34"/>
  <c r="K212" i="34"/>
  <c r="J212" i="34"/>
  <c r="I212" i="34"/>
  <c r="H212" i="34"/>
  <c r="G212" i="34"/>
  <c r="F212" i="34"/>
  <c r="E212" i="34"/>
  <c r="O211" i="34"/>
  <c r="N211" i="34"/>
  <c r="M211" i="34"/>
  <c r="L211" i="34"/>
  <c r="K211" i="34"/>
  <c r="J211" i="34"/>
  <c r="I211" i="34"/>
  <c r="H211" i="34"/>
  <c r="G211" i="34"/>
  <c r="F211" i="34"/>
  <c r="E211" i="34"/>
  <c r="O210" i="34"/>
  <c r="N210" i="34"/>
  <c r="M210" i="34"/>
  <c r="L210" i="34"/>
  <c r="K210" i="34"/>
  <c r="J210" i="34"/>
  <c r="I210" i="34"/>
  <c r="H210" i="34"/>
  <c r="G210" i="34"/>
  <c r="F210" i="34"/>
  <c r="E210" i="34"/>
  <c r="O209" i="34"/>
  <c r="N209" i="34"/>
  <c r="M209" i="34"/>
  <c r="L209" i="34"/>
  <c r="K209" i="34"/>
  <c r="J209" i="34"/>
  <c r="I209" i="34"/>
  <c r="H209" i="34"/>
  <c r="G209" i="34"/>
  <c r="F209" i="34"/>
  <c r="E209" i="34"/>
  <c r="O208" i="34"/>
  <c r="N208" i="34"/>
  <c r="M208" i="34"/>
  <c r="L208" i="34"/>
  <c r="K208" i="34"/>
  <c r="J208" i="34"/>
  <c r="I208" i="34"/>
  <c r="H208" i="34"/>
  <c r="G208" i="34"/>
  <c r="F208" i="34"/>
  <c r="E208" i="34"/>
  <c r="O207" i="34"/>
  <c r="N207" i="34"/>
  <c r="M207" i="34"/>
  <c r="L207" i="34"/>
  <c r="K207" i="34"/>
  <c r="J207" i="34"/>
  <c r="I207" i="34"/>
  <c r="H207" i="34"/>
  <c r="G207" i="34"/>
  <c r="F207" i="34"/>
  <c r="E207" i="34"/>
  <c r="O206" i="34"/>
  <c r="N206" i="34"/>
  <c r="M206" i="34"/>
  <c r="L206" i="34"/>
  <c r="K206" i="34"/>
  <c r="J206" i="34"/>
  <c r="I206" i="34"/>
  <c r="H206" i="34"/>
  <c r="G206" i="34"/>
  <c r="F206" i="34"/>
  <c r="E206" i="34"/>
  <c r="O205" i="34"/>
  <c r="N205" i="34"/>
  <c r="M205" i="34"/>
  <c r="L205" i="34"/>
  <c r="K205" i="34"/>
  <c r="J205" i="34"/>
  <c r="I205" i="34"/>
  <c r="H205" i="34"/>
  <c r="G205" i="34"/>
  <c r="F205" i="34"/>
  <c r="E205" i="34"/>
  <c r="O204" i="34"/>
  <c r="N204" i="34"/>
  <c r="M204" i="34"/>
  <c r="L204" i="34"/>
  <c r="K204" i="34"/>
  <c r="J204" i="34"/>
  <c r="I204" i="34"/>
  <c r="H204" i="34"/>
  <c r="G204" i="34"/>
  <c r="F204" i="34"/>
  <c r="E204" i="34"/>
  <c r="O203" i="34"/>
  <c r="N203" i="34"/>
  <c r="M203" i="34"/>
  <c r="L203" i="34"/>
  <c r="K203" i="34"/>
  <c r="J203" i="34"/>
  <c r="I203" i="34"/>
  <c r="H203" i="34"/>
  <c r="G203" i="34"/>
  <c r="F203" i="34"/>
  <c r="E203" i="34"/>
  <c r="O202" i="34"/>
  <c r="N202" i="34"/>
  <c r="M202" i="34"/>
  <c r="L202" i="34"/>
  <c r="K202" i="34"/>
  <c r="J202" i="34"/>
  <c r="I202" i="34"/>
  <c r="H202" i="34"/>
  <c r="G202" i="34"/>
  <c r="F202" i="34"/>
  <c r="E202" i="34"/>
  <c r="O201" i="34"/>
  <c r="N201" i="34"/>
  <c r="M201" i="34"/>
  <c r="L201" i="34"/>
  <c r="K201" i="34"/>
  <c r="J201" i="34"/>
  <c r="I201" i="34"/>
  <c r="H201" i="34"/>
  <c r="G201" i="34"/>
  <c r="F201" i="34"/>
  <c r="E201" i="34"/>
  <c r="O200" i="34"/>
  <c r="N200" i="34"/>
  <c r="M200" i="34"/>
  <c r="L200" i="34"/>
  <c r="K200" i="34"/>
  <c r="J200" i="34"/>
  <c r="I200" i="34"/>
  <c r="H200" i="34"/>
  <c r="G200" i="34"/>
  <c r="F200" i="34"/>
  <c r="E200" i="34"/>
  <c r="O199" i="34"/>
  <c r="N199" i="34"/>
  <c r="M199" i="34"/>
  <c r="L199" i="34"/>
  <c r="K199" i="34"/>
  <c r="J199" i="34"/>
  <c r="I199" i="34"/>
  <c r="H199" i="34"/>
  <c r="G199" i="34"/>
  <c r="F199" i="34"/>
  <c r="E199" i="34"/>
  <c r="O198" i="34"/>
  <c r="N198" i="34"/>
  <c r="M198" i="34"/>
  <c r="L198" i="34"/>
  <c r="K198" i="34"/>
  <c r="J198" i="34"/>
  <c r="I198" i="34"/>
  <c r="H198" i="34"/>
  <c r="G198" i="34"/>
  <c r="F198" i="34"/>
  <c r="E198" i="34"/>
  <c r="O197" i="34"/>
  <c r="N197" i="34"/>
  <c r="M197" i="34"/>
  <c r="L197" i="34"/>
  <c r="K197" i="34"/>
  <c r="J197" i="34"/>
  <c r="I197" i="34"/>
  <c r="H197" i="34"/>
  <c r="G197" i="34"/>
  <c r="F197" i="34"/>
  <c r="E197" i="34"/>
  <c r="O196" i="34"/>
  <c r="N196" i="34"/>
  <c r="M196" i="34"/>
  <c r="L196" i="34"/>
  <c r="K196" i="34"/>
  <c r="J196" i="34"/>
  <c r="I196" i="34"/>
  <c r="H196" i="34"/>
  <c r="G196" i="34"/>
  <c r="F196" i="34"/>
  <c r="E196" i="34"/>
  <c r="O195" i="34"/>
  <c r="N195" i="34"/>
  <c r="M195" i="34"/>
  <c r="L195" i="34"/>
  <c r="K195" i="34"/>
  <c r="J195" i="34"/>
  <c r="I195" i="34"/>
  <c r="H195" i="34"/>
  <c r="G195" i="34"/>
  <c r="F195" i="34"/>
  <c r="E195" i="34"/>
  <c r="O194" i="34"/>
  <c r="N194" i="34"/>
  <c r="M194" i="34"/>
  <c r="L194" i="34"/>
  <c r="K194" i="34"/>
  <c r="J194" i="34"/>
  <c r="I194" i="34"/>
  <c r="H194" i="34"/>
  <c r="G194" i="34"/>
  <c r="F194" i="34"/>
  <c r="E194" i="34"/>
  <c r="O193" i="34"/>
  <c r="N193" i="34"/>
  <c r="M193" i="34"/>
  <c r="L193" i="34"/>
  <c r="K193" i="34"/>
  <c r="J193" i="34"/>
  <c r="I193" i="34"/>
  <c r="H193" i="34"/>
  <c r="G193" i="34"/>
  <c r="F193" i="34"/>
  <c r="E193" i="34"/>
  <c r="O192" i="34"/>
  <c r="N192" i="34"/>
  <c r="M192" i="34"/>
  <c r="L192" i="34"/>
  <c r="K192" i="34"/>
  <c r="J192" i="34"/>
  <c r="I192" i="34"/>
  <c r="H192" i="34"/>
  <c r="G192" i="34"/>
  <c r="F192" i="34"/>
  <c r="E192" i="34"/>
  <c r="O191" i="34"/>
  <c r="N191" i="34"/>
  <c r="M191" i="34"/>
  <c r="L191" i="34"/>
  <c r="K191" i="34"/>
  <c r="J191" i="34"/>
  <c r="I191" i="34"/>
  <c r="H191" i="34"/>
  <c r="G191" i="34"/>
  <c r="F191" i="34"/>
  <c r="E191" i="34"/>
  <c r="O190" i="34"/>
  <c r="N190" i="34"/>
  <c r="M190" i="34"/>
  <c r="L190" i="34"/>
  <c r="K190" i="34"/>
  <c r="J190" i="34"/>
  <c r="I190" i="34"/>
  <c r="H190" i="34"/>
  <c r="G190" i="34"/>
  <c r="F190" i="34"/>
  <c r="E190" i="34"/>
  <c r="O189" i="34"/>
  <c r="N189" i="34"/>
  <c r="M189" i="34"/>
  <c r="L189" i="34"/>
  <c r="K189" i="34"/>
  <c r="J189" i="34"/>
  <c r="I189" i="34"/>
  <c r="H189" i="34"/>
  <c r="G189" i="34"/>
  <c r="F189" i="34"/>
  <c r="E189" i="34"/>
  <c r="O188" i="34"/>
  <c r="N188" i="34"/>
  <c r="M188" i="34"/>
  <c r="L188" i="34"/>
  <c r="K188" i="34"/>
  <c r="J188" i="34"/>
  <c r="I188" i="34"/>
  <c r="H188" i="34"/>
  <c r="G188" i="34"/>
  <c r="F188" i="34"/>
  <c r="E188" i="34"/>
  <c r="O187" i="34"/>
  <c r="N187" i="34"/>
  <c r="M187" i="34"/>
  <c r="L187" i="34"/>
  <c r="K187" i="34"/>
  <c r="J187" i="34"/>
  <c r="I187" i="34"/>
  <c r="H187" i="34"/>
  <c r="G187" i="34"/>
  <c r="F187" i="34"/>
  <c r="E187" i="34"/>
  <c r="O186" i="34"/>
  <c r="N186" i="34"/>
  <c r="M186" i="34"/>
  <c r="L186" i="34"/>
  <c r="K186" i="34"/>
  <c r="J186" i="34"/>
  <c r="I186" i="34"/>
  <c r="H186" i="34"/>
  <c r="G186" i="34"/>
  <c r="F186" i="34"/>
  <c r="E186" i="34"/>
  <c r="O185" i="34"/>
  <c r="N185" i="34"/>
  <c r="M185" i="34"/>
  <c r="L185" i="34"/>
  <c r="K185" i="34"/>
  <c r="J185" i="34"/>
  <c r="I185" i="34"/>
  <c r="H185" i="34"/>
  <c r="G185" i="34"/>
  <c r="F185" i="34"/>
  <c r="E185" i="34"/>
  <c r="O184" i="34"/>
  <c r="N184" i="34"/>
  <c r="M184" i="34"/>
  <c r="L184" i="34"/>
  <c r="K184" i="34"/>
  <c r="J184" i="34"/>
  <c r="I184" i="34"/>
  <c r="H184" i="34"/>
  <c r="G184" i="34"/>
  <c r="F184" i="34"/>
  <c r="E184" i="34"/>
  <c r="O183" i="34"/>
  <c r="N183" i="34"/>
  <c r="M183" i="34"/>
  <c r="L183" i="34"/>
  <c r="K183" i="34"/>
  <c r="J183" i="34"/>
  <c r="I183" i="34"/>
  <c r="H183" i="34"/>
  <c r="G183" i="34"/>
  <c r="F183" i="34"/>
  <c r="E183" i="34"/>
  <c r="O182" i="34"/>
  <c r="N182" i="34"/>
  <c r="M182" i="34"/>
  <c r="L182" i="34"/>
  <c r="K182" i="34"/>
  <c r="J182" i="34"/>
  <c r="I182" i="34"/>
  <c r="H182" i="34"/>
  <c r="G182" i="34"/>
  <c r="F182" i="34"/>
  <c r="E182" i="34"/>
  <c r="O181" i="34"/>
  <c r="N181" i="34"/>
  <c r="M181" i="34"/>
  <c r="L181" i="34"/>
  <c r="K181" i="34"/>
  <c r="J181" i="34"/>
  <c r="I181" i="34"/>
  <c r="H181" i="34"/>
  <c r="G181" i="34"/>
  <c r="F181" i="34"/>
  <c r="E181" i="34"/>
  <c r="O180" i="34"/>
  <c r="N180" i="34"/>
  <c r="M180" i="34"/>
  <c r="L180" i="34"/>
  <c r="K180" i="34"/>
  <c r="J180" i="34"/>
  <c r="I180" i="34"/>
  <c r="H180" i="34"/>
  <c r="G180" i="34"/>
  <c r="F180" i="34"/>
  <c r="E180" i="34"/>
  <c r="O179" i="34"/>
  <c r="N179" i="34"/>
  <c r="M179" i="34"/>
  <c r="L179" i="34"/>
  <c r="K179" i="34"/>
  <c r="J179" i="34"/>
  <c r="I179" i="34"/>
  <c r="H179" i="34"/>
  <c r="G179" i="34"/>
  <c r="F179" i="34"/>
  <c r="E179" i="34"/>
  <c r="O178" i="34"/>
  <c r="N178" i="34"/>
  <c r="M178" i="34"/>
  <c r="L178" i="34"/>
  <c r="K178" i="34"/>
  <c r="J178" i="34"/>
  <c r="I178" i="34"/>
  <c r="H178" i="34"/>
  <c r="G178" i="34"/>
  <c r="F178" i="34"/>
  <c r="E178" i="34"/>
  <c r="O177" i="34"/>
  <c r="N177" i="34"/>
  <c r="M177" i="34"/>
  <c r="L177" i="34"/>
  <c r="K177" i="34"/>
  <c r="J177" i="34"/>
  <c r="I177" i="34"/>
  <c r="H177" i="34"/>
  <c r="G177" i="34"/>
  <c r="F177" i="34"/>
  <c r="E177" i="34"/>
  <c r="O176" i="34"/>
  <c r="N176" i="34"/>
  <c r="M176" i="34"/>
  <c r="L176" i="34"/>
  <c r="K176" i="34"/>
  <c r="J176" i="34"/>
  <c r="I176" i="34"/>
  <c r="H176" i="34"/>
  <c r="G176" i="34"/>
  <c r="F176" i="34"/>
  <c r="E176" i="34"/>
  <c r="O175" i="34"/>
  <c r="N175" i="34"/>
  <c r="M175" i="34"/>
  <c r="L175" i="34"/>
  <c r="K175" i="34"/>
  <c r="J175" i="34"/>
  <c r="I175" i="34"/>
  <c r="H175" i="34"/>
  <c r="G175" i="34"/>
  <c r="F175" i="34"/>
  <c r="E175" i="34"/>
  <c r="O174" i="34"/>
  <c r="N174" i="34"/>
  <c r="M174" i="34"/>
  <c r="L174" i="34"/>
  <c r="K174" i="34"/>
  <c r="J174" i="34"/>
  <c r="I174" i="34"/>
  <c r="H174" i="34"/>
  <c r="G174" i="34"/>
  <c r="F174" i="34"/>
  <c r="E174" i="34"/>
  <c r="O173" i="34"/>
  <c r="N173" i="34"/>
  <c r="M173" i="34"/>
  <c r="L173" i="34"/>
  <c r="K173" i="34"/>
  <c r="J173" i="34"/>
  <c r="I173" i="34"/>
  <c r="H173" i="34"/>
  <c r="G173" i="34"/>
  <c r="F173" i="34"/>
  <c r="E173" i="34"/>
  <c r="P173" i="34" s="1"/>
  <c r="O172" i="34"/>
  <c r="N172" i="34"/>
  <c r="M172" i="34"/>
  <c r="L172" i="34"/>
  <c r="K172" i="34"/>
  <c r="J172" i="34"/>
  <c r="I172" i="34"/>
  <c r="H172" i="34"/>
  <c r="G172" i="34"/>
  <c r="F172" i="34"/>
  <c r="E172" i="34"/>
  <c r="O171" i="34"/>
  <c r="N171" i="34"/>
  <c r="M171" i="34"/>
  <c r="L171" i="34"/>
  <c r="K171" i="34"/>
  <c r="J171" i="34"/>
  <c r="I171" i="34"/>
  <c r="H171" i="34"/>
  <c r="G171" i="34"/>
  <c r="F171" i="34"/>
  <c r="E171" i="34"/>
  <c r="O170" i="34"/>
  <c r="N170" i="34"/>
  <c r="M170" i="34"/>
  <c r="L170" i="34"/>
  <c r="K170" i="34"/>
  <c r="J170" i="34"/>
  <c r="I170" i="34"/>
  <c r="H170" i="34"/>
  <c r="G170" i="34"/>
  <c r="F170" i="34"/>
  <c r="E170" i="34"/>
  <c r="O169" i="34"/>
  <c r="N169" i="34"/>
  <c r="M169" i="34"/>
  <c r="L169" i="34"/>
  <c r="K169" i="34"/>
  <c r="J169" i="34"/>
  <c r="I169" i="34"/>
  <c r="H169" i="34"/>
  <c r="G169" i="34"/>
  <c r="F169" i="34"/>
  <c r="E169" i="34"/>
  <c r="O168" i="34"/>
  <c r="N168" i="34"/>
  <c r="M168" i="34"/>
  <c r="L168" i="34"/>
  <c r="K168" i="34"/>
  <c r="J168" i="34"/>
  <c r="I168" i="34"/>
  <c r="H168" i="34"/>
  <c r="G168" i="34"/>
  <c r="F168" i="34"/>
  <c r="E168" i="34"/>
  <c r="O167" i="34"/>
  <c r="N167" i="34"/>
  <c r="M167" i="34"/>
  <c r="L167" i="34"/>
  <c r="K167" i="34"/>
  <c r="J167" i="34"/>
  <c r="I167" i="34"/>
  <c r="H167" i="34"/>
  <c r="G167" i="34"/>
  <c r="F167" i="34"/>
  <c r="E167" i="34"/>
  <c r="O166" i="34"/>
  <c r="N166" i="34"/>
  <c r="M166" i="34"/>
  <c r="L166" i="34"/>
  <c r="K166" i="34"/>
  <c r="J166" i="34"/>
  <c r="I166" i="34"/>
  <c r="H166" i="34"/>
  <c r="G166" i="34"/>
  <c r="F166" i="34"/>
  <c r="E166" i="34"/>
  <c r="O165" i="34"/>
  <c r="N165" i="34"/>
  <c r="M165" i="34"/>
  <c r="L165" i="34"/>
  <c r="K165" i="34"/>
  <c r="J165" i="34"/>
  <c r="I165" i="34"/>
  <c r="H165" i="34"/>
  <c r="G165" i="34"/>
  <c r="F165" i="34"/>
  <c r="E165" i="34"/>
  <c r="O164" i="34"/>
  <c r="N164" i="34"/>
  <c r="M164" i="34"/>
  <c r="L164" i="34"/>
  <c r="K164" i="34"/>
  <c r="J164" i="34"/>
  <c r="I164" i="34"/>
  <c r="H164" i="34"/>
  <c r="G164" i="34"/>
  <c r="F164" i="34"/>
  <c r="E164" i="34"/>
  <c r="O163" i="34"/>
  <c r="N163" i="34"/>
  <c r="M163" i="34"/>
  <c r="L163" i="34"/>
  <c r="K163" i="34"/>
  <c r="J163" i="34"/>
  <c r="I163" i="34"/>
  <c r="H163" i="34"/>
  <c r="G163" i="34"/>
  <c r="F163" i="34"/>
  <c r="E163" i="34"/>
  <c r="O162" i="34"/>
  <c r="N162" i="34"/>
  <c r="M162" i="34"/>
  <c r="L162" i="34"/>
  <c r="K162" i="34"/>
  <c r="J162" i="34"/>
  <c r="I162" i="34"/>
  <c r="H162" i="34"/>
  <c r="G162" i="34"/>
  <c r="F162" i="34"/>
  <c r="E162" i="34"/>
  <c r="O161" i="34"/>
  <c r="N161" i="34"/>
  <c r="M161" i="34"/>
  <c r="L161" i="34"/>
  <c r="K161" i="34"/>
  <c r="J161" i="34"/>
  <c r="I161" i="34"/>
  <c r="H161" i="34"/>
  <c r="G161" i="34"/>
  <c r="F161" i="34"/>
  <c r="E161" i="34"/>
  <c r="P161" i="34" s="1"/>
  <c r="O160" i="34"/>
  <c r="N160" i="34"/>
  <c r="M160" i="34"/>
  <c r="L160" i="34"/>
  <c r="K160" i="34"/>
  <c r="J160" i="34"/>
  <c r="I160" i="34"/>
  <c r="H160" i="34"/>
  <c r="G160" i="34"/>
  <c r="F160" i="34"/>
  <c r="E160" i="34"/>
  <c r="O159" i="34"/>
  <c r="N159" i="34"/>
  <c r="M159" i="34"/>
  <c r="L159" i="34"/>
  <c r="K159" i="34"/>
  <c r="J159" i="34"/>
  <c r="I159" i="34"/>
  <c r="H159" i="34"/>
  <c r="G159" i="34"/>
  <c r="F159" i="34"/>
  <c r="E159" i="34"/>
  <c r="O158" i="34"/>
  <c r="N158" i="34"/>
  <c r="M158" i="34"/>
  <c r="L158" i="34"/>
  <c r="K158" i="34"/>
  <c r="J158" i="34"/>
  <c r="I158" i="34"/>
  <c r="H158" i="34"/>
  <c r="G158" i="34"/>
  <c r="F158" i="34"/>
  <c r="E158" i="34"/>
  <c r="O157" i="34"/>
  <c r="N157" i="34"/>
  <c r="M157" i="34"/>
  <c r="L157" i="34"/>
  <c r="K157" i="34"/>
  <c r="J157" i="34"/>
  <c r="I157" i="34"/>
  <c r="H157" i="34"/>
  <c r="G157" i="34"/>
  <c r="F157" i="34"/>
  <c r="E157" i="34"/>
  <c r="O156" i="34"/>
  <c r="N156" i="34"/>
  <c r="M156" i="34"/>
  <c r="L156" i="34"/>
  <c r="K156" i="34"/>
  <c r="J156" i="34"/>
  <c r="I156" i="34"/>
  <c r="H156" i="34"/>
  <c r="G156" i="34"/>
  <c r="F156" i="34"/>
  <c r="E156" i="34"/>
  <c r="O155" i="34"/>
  <c r="N155" i="34"/>
  <c r="M155" i="34"/>
  <c r="L155" i="34"/>
  <c r="K155" i="34"/>
  <c r="J155" i="34"/>
  <c r="I155" i="34"/>
  <c r="H155" i="34"/>
  <c r="G155" i="34"/>
  <c r="F155" i="34"/>
  <c r="E155" i="34"/>
  <c r="O154" i="34"/>
  <c r="N154" i="34"/>
  <c r="M154" i="34"/>
  <c r="L154" i="34"/>
  <c r="K154" i="34"/>
  <c r="J154" i="34"/>
  <c r="I154" i="34"/>
  <c r="H154" i="34"/>
  <c r="G154" i="34"/>
  <c r="F154" i="34"/>
  <c r="E154" i="34"/>
  <c r="O153" i="34"/>
  <c r="N153" i="34"/>
  <c r="M153" i="34"/>
  <c r="L153" i="34"/>
  <c r="K153" i="34"/>
  <c r="J153" i="34"/>
  <c r="I153" i="34"/>
  <c r="H153" i="34"/>
  <c r="G153" i="34"/>
  <c r="F153" i="34"/>
  <c r="E153" i="34"/>
  <c r="O152" i="34"/>
  <c r="N152" i="34"/>
  <c r="M152" i="34"/>
  <c r="L152" i="34"/>
  <c r="K152" i="34"/>
  <c r="J152" i="34"/>
  <c r="I152" i="34"/>
  <c r="H152" i="34"/>
  <c r="G152" i="34"/>
  <c r="F152" i="34"/>
  <c r="E152" i="34"/>
  <c r="O151" i="34"/>
  <c r="N151" i="34"/>
  <c r="M151" i="34"/>
  <c r="L151" i="34"/>
  <c r="K151" i="34"/>
  <c r="J151" i="34"/>
  <c r="I151" i="34"/>
  <c r="H151" i="34"/>
  <c r="G151" i="34"/>
  <c r="F151" i="34"/>
  <c r="E151" i="34"/>
  <c r="O150" i="34"/>
  <c r="N150" i="34"/>
  <c r="M150" i="34"/>
  <c r="L150" i="34"/>
  <c r="K150" i="34"/>
  <c r="J150" i="34"/>
  <c r="I150" i="34"/>
  <c r="H150" i="34"/>
  <c r="G150" i="34"/>
  <c r="F150" i="34"/>
  <c r="E150" i="34"/>
  <c r="O149" i="34"/>
  <c r="N149" i="34"/>
  <c r="M149" i="34"/>
  <c r="L149" i="34"/>
  <c r="K149" i="34"/>
  <c r="J149" i="34"/>
  <c r="I149" i="34"/>
  <c r="H149" i="34"/>
  <c r="G149" i="34"/>
  <c r="F149" i="34"/>
  <c r="E149" i="34"/>
  <c r="P149" i="34" s="1"/>
  <c r="O148" i="34"/>
  <c r="N148" i="34"/>
  <c r="M148" i="34"/>
  <c r="L148" i="34"/>
  <c r="K148" i="34"/>
  <c r="J148" i="34"/>
  <c r="I148" i="34"/>
  <c r="H148" i="34"/>
  <c r="G148" i="34"/>
  <c r="F148" i="34"/>
  <c r="E148" i="34"/>
  <c r="O147" i="34"/>
  <c r="N147" i="34"/>
  <c r="M147" i="34"/>
  <c r="L147" i="34"/>
  <c r="K147" i="34"/>
  <c r="J147" i="34"/>
  <c r="I147" i="34"/>
  <c r="H147" i="34"/>
  <c r="G147" i="34"/>
  <c r="F147" i="34"/>
  <c r="E147" i="34"/>
  <c r="O146" i="34"/>
  <c r="N146" i="34"/>
  <c r="M146" i="34"/>
  <c r="L146" i="34"/>
  <c r="K146" i="34"/>
  <c r="J146" i="34"/>
  <c r="I146" i="34"/>
  <c r="H146" i="34"/>
  <c r="G146" i="34"/>
  <c r="F146" i="34"/>
  <c r="E146" i="34"/>
  <c r="O145" i="34"/>
  <c r="N145" i="34"/>
  <c r="M145" i="34"/>
  <c r="L145" i="34"/>
  <c r="K145" i="34"/>
  <c r="J145" i="34"/>
  <c r="I145" i="34"/>
  <c r="H145" i="34"/>
  <c r="G145" i="34"/>
  <c r="F145" i="34"/>
  <c r="E145" i="34"/>
  <c r="O144" i="34"/>
  <c r="N144" i="34"/>
  <c r="M144" i="34"/>
  <c r="L144" i="34"/>
  <c r="K144" i="34"/>
  <c r="J144" i="34"/>
  <c r="I144" i="34"/>
  <c r="H144" i="34"/>
  <c r="G144" i="34"/>
  <c r="F144" i="34"/>
  <c r="E144" i="34"/>
  <c r="O143" i="34"/>
  <c r="N143" i="34"/>
  <c r="M143" i="34"/>
  <c r="L143" i="34"/>
  <c r="K143" i="34"/>
  <c r="J143" i="34"/>
  <c r="I143" i="34"/>
  <c r="H143" i="34"/>
  <c r="G143" i="34"/>
  <c r="F143" i="34"/>
  <c r="E143" i="34"/>
  <c r="O142" i="34"/>
  <c r="N142" i="34"/>
  <c r="M142" i="34"/>
  <c r="L142" i="34"/>
  <c r="K142" i="34"/>
  <c r="J142" i="34"/>
  <c r="I142" i="34"/>
  <c r="H142" i="34"/>
  <c r="G142" i="34"/>
  <c r="F142" i="34"/>
  <c r="E142" i="34"/>
  <c r="O141" i="34"/>
  <c r="N141" i="34"/>
  <c r="M141" i="34"/>
  <c r="L141" i="34"/>
  <c r="K141" i="34"/>
  <c r="J141" i="34"/>
  <c r="I141" i="34"/>
  <c r="H141" i="34"/>
  <c r="G141" i="34"/>
  <c r="F141" i="34"/>
  <c r="E141" i="34"/>
  <c r="O140" i="34"/>
  <c r="N140" i="34"/>
  <c r="M140" i="34"/>
  <c r="L140" i="34"/>
  <c r="K140" i="34"/>
  <c r="J140" i="34"/>
  <c r="I140" i="34"/>
  <c r="H140" i="34"/>
  <c r="G140" i="34"/>
  <c r="F140" i="34"/>
  <c r="E140" i="34"/>
  <c r="O139" i="34"/>
  <c r="N139" i="34"/>
  <c r="M139" i="34"/>
  <c r="L139" i="34"/>
  <c r="K139" i="34"/>
  <c r="J139" i="34"/>
  <c r="I139" i="34"/>
  <c r="H139" i="34"/>
  <c r="G139" i="34"/>
  <c r="F139" i="34"/>
  <c r="E139" i="34"/>
  <c r="O138" i="34"/>
  <c r="N138" i="34"/>
  <c r="M138" i="34"/>
  <c r="L138" i="34"/>
  <c r="K138" i="34"/>
  <c r="J138" i="34"/>
  <c r="I138" i="34"/>
  <c r="H138" i="34"/>
  <c r="G138" i="34"/>
  <c r="F138" i="34"/>
  <c r="E138" i="34"/>
  <c r="O137" i="34"/>
  <c r="N137" i="34"/>
  <c r="M137" i="34"/>
  <c r="L137" i="34"/>
  <c r="K137" i="34"/>
  <c r="J137" i="34"/>
  <c r="I137" i="34"/>
  <c r="H137" i="34"/>
  <c r="G137" i="34"/>
  <c r="F137" i="34"/>
  <c r="E137" i="34"/>
  <c r="P137" i="34" s="1"/>
  <c r="O136" i="34"/>
  <c r="N136" i="34"/>
  <c r="M136" i="34"/>
  <c r="L136" i="34"/>
  <c r="K136" i="34"/>
  <c r="J136" i="34"/>
  <c r="I136" i="34"/>
  <c r="H136" i="34"/>
  <c r="G136" i="34"/>
  <c r="F136" i="34"/>
  <c r="E136" i="34"/>
  <c r="O135" i="34"/>
  <c r="N135" i="34"/>
  <c r="M135" i="34"/>
  <c r="L135" i="34"/>
  <c r="K135" i="34"/>
  <c r="J135" i="34"/>
  <c r="I135" i="34"/>
  <c r="H135" i="34"/>
  <c r="G135" i="34"/>
  <c r="F135" i="34"/>
  <c r="E135" i="34"/>
  <c r="O134" i="34"/>
  <c r="N134" i="34"/>
  <c r="M134" i="34"/>
  <c r="L134" i="34"/>
  <c r="K134" i="34"/>
  <c r="J134" i="34"/>
  <c r="I134" i="34"/>
  <c r="H134" i="34"/>
  <c r="G134" i="34"/>
  <c r="F134" i="34"/>
  <c r="E134" i="34"/>
  <c r="O133" i="34"/>
  <c r="N133" i="34"/>
  <c r="M133" i="34"/>
  <c r="L133" i="34"/>
  <c r="K133" i="34"/>
  <c r="J133" i="34"/>
  <c r="I133" i="34"/>
  <c r="H133" i="34"/>
  <c r="G133" i="34"/>
  <c r="F133" i="34"/>
  <c r="E133" i="34"/>
  <c r="O132" i="34"/>
  <c r="N132" i="34"/>
  <c r="M132" i="34"/>
  <c r="L132" i="34"/>
  <c r="K132" i="34"/>
  <c r="J132" i="34"/>
  <c r="I132" i="34"/>
  <c r="H132" i="34"/>
  <c r="G132" i="34"/>
  <c r="F132" i="34"/>
  <c r="E132" i="34"/>
  <c r="O131" i="34"/>
  <c r="N131" i="34"/>
  <c r="M131" i="34"/>
  <c r="L131" i="34"/>
  <c r="K131" i="34"/>
  <c r="J131" i="34"/>
  <c r="I131" i="34"/>
  <c r="H131" i="34"/>
  <c r="G131" i="34"/>
  <c r="F131" i="34"/>
  <c r="E131" i="34"/>
  <c r="O130" i="34"/>
  <c r="N130" i="34"/>
  <c r="M130" i="34"/>
  <c r="L130" i="34"/>
  <c r="K130" i="34"/>
  <c r="J130" i="34"/>
  <c r="I130" i="34"/>
  <c r="H130" i="34"/>
  <c r="G130" i="34"/>
  <c r="F130" i="34"/>
  <c r="E130" i="34"/>
  <c r="O129" i="34"/>
  <c r="N129" i="34"/>
  <c r="M129" i="34"/>
  <c r="L129" i="34"/>
  <c r="K129" i="34"/>
  <c r="J129" i="34"/>
  <c r="I129" i="34"/>
  <c r="H129" i="34"/>
  <c r="G129" i="34"/>
  <c r="F129" i="34"/>
  <c r="E129" i="34"/>
  <c r="O128" i="34"/>
  <c r="N128" i="34"/>
  <c r="M128" i="34"/>
  <c r="L128" i="34"/>
  <c r="K128" i="34"/>
  <c r="J128" i="34"/>
  <c r="I128" i="34"/>
  <c r="H128" i="34"/>
  <c r="G128" i="34"/>
  <c r="F128" i="34"/>
  <c r="E128" i="34"/>
  <c r="O127" i="34"/>
  <c r="N127" i="34"/>
  <c r="M127" i="34"/>
  <c r="L127" i="34"/>
  <c r="K127" i="34"/>
  <c r="J127" i="34"/>
  <c r="I127" i="34"/>
  <c r="H127" i="34"/>
  <c r="G127" i="34"/>
  <c r="F127" i="34"/>
  <c r="E127" i="34"/>
  <c r="O126" i="34"/>
  <c r="N126" i="34"/>
  <c r="M126" i="34"/>
  <c r="L126" i="34"/>
  <c r="K126" i="34"/>
  <c r="J126" i="34"/>
  <c r="I126" i="34"/>
  <c r="H126" i="34"/>
  <c r="G126" i="34"/>
  <c r="F126" i="34"/>
  <c r="E126" i="34"/>
  <c r="O125" i="34"/>
  <c r="P125" i="34" s="1"/>
  <c r="N125" i="34"/>
  <c r="M125" i="34"/>
  <c r="L125" i="34"/>
  <c r="K125" i="34"/>
  <c r="J125" i="34"/>
  <c r="I125" i="34"/>
  <c r="H125" i="34"/>
  <c r="G125" i="34"/>
  <c r="F125" i="34"/>
  <c r="E125" i="34"/>
  <c r="O124" i="34"/>
  <c r="N124" i="34"/>
  <c r="M124" i="34"/>
  <c r="L124" i="34"/>
  <c r="K124" i="34"/>
  <c r="J124" i="34"/>
  <c r="I124" i="34"/>
  <c r="H124" i="34"/>
  <c r="G124" i="34"/>
  <c r="F124" i="34"/>
  <c r="E124" i="34"/>
  <c r="O123" i="34"/>
  <c r="N123" i="34"/>
  <c r="M123" i="34"/>
  <c r="L123" i="34"/>
  <c r="K123" i="34"/>
  <c r="J123" i="34"/>
  <c r="I123" i="34"/>
  <c r="H123" i="34"/>
  <c r="G123" i="34"/>
  <c r="F123" i="34"/>
  <c r="E123" i="34"/>
  <c r="O122" i="34"/>
  <c r="N122" i="34"/>
  <c r="M122" i="34"/>
  <c r="L122" i="34"/>
  <c r="K122" i="34"/>
  <c r="J122" i="34"/>
  <c r="I122" i="34"/>
  <c r="H122" i="34"/>
  <c r="G122" i="34"/>
  <c r="F122" i="34"/>
  <c r="E122" i="34"/>
  <c r="O121" i="34"/>
  <c r="N121" i="34"/>
  <c r="M121" i="34"/>
  <c r="L121" i="34"/>
  <c r="K121" i="34"/>
  <c r="J121" i="34"/>
  <c r="I121" i="34"/>
  <c r="H121" i="34"/>
  <c r="G121" i="34"/>
  <c r="F121" i="34"/>
  <c r="E121" i="34"/>
  <c r="O120" i="34"/>
  <c r="N120" i="34"/>
  <c r="M120" i="34"/>
  <c r="L120" i="34"/>
  <c r="K120" i="34"/>
  <c r="J120" i="34"/>
  <c r="I120" i="34"/>
  <c r="H120" i="34"/>
  <c r="G120" i="34"/>
  <c r="F120" i="34"/>
  <c r="E120" i="34"/>
  <c r="O119" i="34"/>
  <c r="N119" i="34"/>
  <c r="M119" i="34"/>
  <c r="L119" i="34"/>
  <c r="K119" i="34"/>
  <c r="J119" i="34"/>
  <c r="I119" i="34"/>
  <c r="H119" i="34"/>
  <c r="G119" i="34"/>
  <c r="F119" i="34"/>
  <c r="E119" i="34"/>
  <c r="O118" i="34"/>
  <c r="N118" i="34"/>
  <c r="M118" i="34"/>
  <c r="L118" i="34"/>
  <c r="K118" i="34"/>
  <c r="J118" i="34"/>
  <c r="I118" i="34"/>
  <c r="H118" i="34"/>
  <c r="G118" i="34"/>
  <c r="F118" i="34"/>
  <c r="E118" i="34"/>
  <c r="O117" i="34"/>
  <c r="N117" i="34"/>
  <c r="M117" i="34"/>
  <c r="L117" i="34"/>
  <c r="K117" i="34"/>
  <c r="J117" i="34"/>
  <c r="I117" i="34"/>
  <c r="H117" i="34"/>
  <c r="G117" i="34"/>
  <c r="F117" i="34"/>
  <c r="E117" i="34"/>
  <c r="O116" i="34"/>
  <c r="N116" i="34"/>
  <c r="M116" i="34"/>
  <c r="L116" i="34"/>
  <c r="K116" i="34"/>
  <c r="J116" i="34"/>
  <c r="I116" i="34"/>
  <c r="H116" i="34"/>
  <c r="G116" i="34"/>
  <c r="F116" i="34"/>
  <c r="E116" i="34"/>
  <c r="O115" i="34"/>
  <c r="N115" i="34"/>
  <c r="M115" i="34"/>
  <c r="L115" i="34"/>
  <c r="K115" i="34"/>
  <c r="J115" i="34"/>
  <c r="I115" i="34"/>
  <c r="H115" i="34"/>
  <c r="G115" i="34"/>
  <c r="F115" i="34"/>
  <c r="E115" i="34"/>
  <c r="O114" i="34"/>
  <c r="N114" i="34"/>
  <c r="M114" i="34"/>
  <c r="L114" i="34"/>
  <c r="K114" i="34"/>
  <c r="J114" i="34"/>
  <c r="I114" i="34"/>
  <c r="H114" i="34"/>
  <c r="G114" i="34"/>
  <c r="F114" i="34"/>
  <c r="E114" i="34"/>
  <c r="O113" i="34"/>
  <c r="N113" i="34"/>
  <c r="M113" i="34"/>
  <c r="L113" i="34"/>
  <c r="K113" i="34"/>
  <c r="J113" i="34"/>
  <c r="I113" i="34"/>
  <c r="H113" i="34"/>
  <c r="G113" i="34"/>
  <c r="F113" i="34"/>
  <c r="E113" i="34"/>
  <c r="O112" i="34"/>
  <c r="N112" i="34"/>
  <c r="M112" i="34"/>
  <c r="L112" i="34"/>
  <c r="K112" i="34"/>
  <c r="J112" i="34"/>
  <c r="I112" i="34"/>
  <c r="H112" i="34"/>
  <c r="G112" i="34"/>
  <c r="F112" i="34"/>
  <c r="E112" i="34"/>
  <c r="O111" i="34"/>
  <c r="N111" i="34"/>
  <c r="M111" i="34"/>
  <c r="L111" i="34"/>
  <c r="K111" i="34"/>
  <c r="J111" i="34"/>
  <c r="I111" i="34"/>
  <c r="H111" i="34"/>
  <c r="G111" i="34"/>
  <c r="F111" i="34"/>
  <c r="E111" i="34"/>
  <c r="O110" i="34"/>
  <c r="N110" i="34"/>
  <c r="M110" i="34"/>
  <c r="L110" i="34"/>
  <c r="K110" i="34"/>
  <c r="J110" i="34"/>
  <c r="I110" i="34"/>
  <c r="H110" i="34"/>
  <c r="G110" i="34"/>
  <c r="F110" i="34"/>
  <c r="E110" i="34"/>
  <c r="O109" i="34"/>
  <c r="N109" i="34"/>
  <c r="M109" i="34"/>
  <c r="L109" i="34"/>
  <c r="K109" i="34"/>
  <c r="J109" i="34"/>
  <c r="I109" i="34"/>
  <c r="H109" i="34"/>
  <c r="G109" i="34"/>
  <c r="F109" i="34"/>
  <c r="E109" i="34"/>
  <c r="O108" i="34"/>
  <c r="N108" i="34"/>
  <c r="M108" i="34"/>
  <c r="L108" i="34"/>
  <c r="K108" i="34"/>
  <c r="J108" i="34"/>
  <c r="I108" i="34"/>
  <c r="H108" i="34"/>
  <c r="G108" i="34"/>
  <c r="F108" i="34"/>
  <c r="E108" i="34"/>
  <c r="O107" i="34"/>
  <c r="N107" i="34"/>
  <c r="M107" i="34"/>
  <c r="L107" i="34"/>
  <c r="K107" i="34"/>
  <c r="J107" i="34"/>
  <c r="I107" i="34"/>
  <c r="H107" i="34"/>
  <c r="G107" i="34"/>
  <c r="F107" i="34"/>
  <c r="E107" i="34"/>
  <c r="O106" i="34"/>
  <c r="N106" i="34"/>
  <c r="M106" i="34"/>
  <c r="L106" i="34"/>
  <c r="K106" i="34"/>
  <c r="J106" i="34"/>
  <c r="I106" i="34"/>
  <c r="H106" i="34"/>
  <c r="G106" i="34"/>
  <c r="F106" i="34"/>
  <c r="E106" i="34"/>
  <c r="O105" i="34"/>
  <c r="N105" i="34"/>
  <c r="M105" i="34"/>
  <c r="L105" i="34"/>
  <c r="K105" i="34"/>
  <c r="J105" i="34"/>
  <c r="I105" i="34"/>
  <c r="H105" i="34"/>
  <c r="G105" i="34"/>
  <c r="F105" i="34"/>
  <c r="E105" i="34"/>
  <c r="O104" i="34"/>
  <c r="N104" i="34"/>
  <c r="M104" i="34"/>
  <c r="L104" i="34"/>
  <c r="K104" i="34"/>
  <c r="J104" i="34"/>
  <c r="I104" i="34"/>
  <c r="H104" i="34"/>
  <c r="G104" i="34"/>
  <c r="F104" i="34"/>
  <c r="E104" i="34"/>
  <c r="O103" i="34"/>
  <c r="N103" i="34"/>
  <c r="M103" i="34"/>
  <c r="L103" i="34"/>
  <c r="K103" i="34"/>
  <c r="J103" i="34"/>
  <c r="I103" i="34"/>
  <c r="H103" i="34"/>
  <c r="G103" i="34"/>
  <c r="F103" i="34"/>
  <c r="E103" i="34"/>
  <c r="O102" i="34"/>
  <c r="N102" i="34"/>
  <c r="M102" i="34"/>
  <c r="L102" i="34"/>
  <c r="K102" i="34"/>
  <c r="J102" i="34"/>
  <c r="I102" i="34"/>
  <c r="H102" i="34"/>
  <c r="G102" i="34"/>
  <c r="F102" i="34"/>
  <c r="E102" i="34"/>
  <c r="O101" i="34"/>
  <c r="N101" i="34"/>
  <c r="M101" i="34"/>
  <c r="L101" i="34"/>
  <c r="K101" i="34"/>
  <c r="J101" i="34"/>
  <c r="I101" i="34"/>
  <c r="H101" i="34"/>
  <c r="G101" i="34"/>
  <c r="F101" i="34"/>
  <c r="E101" i="34"/>
  <c r="O100" i="34"/>
  <c r="N100" i="34"/>
  <c r="M100" i="34"/>
  <c r="L100" i="34"/>
  <c r="K100" i="34"/>
  <c r="J100" i="34"/>
  <c r="I100" i="34"/>
  <c r="H100" i="34"/>
  <c r="G100" i="34"/>
  <c r="F100" i="34"/>
  <c r="E100" i="34"/>
  <c r="O99" i="34"/>
  <c r="N99" i="34"/>
  <c r="M99" i="34"/>
  <c r="L99" i="34"/>
  <c r="K99" i="34"/>
  <c r="J99" i="34"/>
  <c r="I99" i="34"/>
  <c r="H99" i="34"/>
  <c r="G99" i="34"/>
  <c r="F99" i="34"/>
  <c r="E99" i="34"/>
  <c r="O98" i="34"/>
  <c r="N98" i="34"/>
  <c r="M98" i="34"/>
  <c r="L98" i="34"/>
  <c r="K98" i="34"/>
  <c r="J98" i="34"/>
  <c r="I98" i="34"/>
  <c r="H98" i="34"/>
  <c r="G98" i="34"/>
  <c r="F98" i="34"/>
  <c r="E98" i="34"/>
  <c r="O97" i="34"/>
  <c r="N97" i="34"/>
  <c r="M97" i="34"/>
  <c r="L97" i="34"/>
  <c r="K97" i="34"/>
  <c r="J97" i="34"/>
  <c r="I97" i="34"/>
  <c r="H97" i="34"/>
  <c r="G97" i="34"/>
  <c r="F97" i="34"/>
  <c r="E97" i="34"/>
  <c r="O96" i="34"/>
  <c r="N96" i="34"/>
  <c r="M96" i="34"/>
  <c r="L96" i="34"/>
  <c r="K96" i="34"/>
  <c r="J96" i="34"/>
  <c r="I96" i="34"/>
  <c r="H96" i="34"/>
  <c r="G96" i="34"/>
  <c r="F96" i="34"/>
  <c r="E96" i="34"/>
  <c r="O95" i="34"/>
  <c r="N95" i="34"/>
  <c r="M95" i="34"/>
  <c r="L95" i="34"/>
  <c r="K95" i="34"/>
  <c r="J95" i="34"/>
  <c r="I95" i="34"/>
  <c r="H95" i="34"/>
  <c r="G95" i="34"/>
  <c r="F95" i="34"/>
  <c r="E95" i="34"/>
  <c r="O94" i="34"/>
  <c r="N94" i="34"/>
  <c r="M94" i="34"/>
  <c r="L94" i="34"/>
  <c r="K94" i="34"/>
  <c r="J94" i="34"/>
  <c r="I94" i="34"/>
  <c r="H94" i="34"/>
  <c r="G94" i="34"/>
  <c r="F94" i="34"/>
  <c r="E94" i="34"/>
  <c r="O93" i="34"/>
  <c r="N93" i="34"/>
  <c r="M93" i="34"/>
  <c r="L93" i="34"/>
  <c r="K93" i="34"/>
  <c r="J93" i="34"/>
  <c r="I93" i="34"/>
  <c r="H93" i="34"/>
  <c r="G93" i="34"/>
  <c r="F93" i="34"/>
  <c r="E93" i="34"/>
  <c r="O92" i="34"/>
  <c r="N92" i="34"/>
  <c r="M92" i="34"/>
  <c r="L92" i="34"/>
  <c r="K92" i="34"/>
  <c r="J92" i="34"/>
  <c r="I92" i="34"/>
  <c r="H92" i="34"/>
  <c r="G92" i="34"/>
  <c r="F92" i="34"/>
  <c r="E92" i="34"/>
  <c r="O91" i="34"/>
  <c r="N91" i="34"/>
  <c r="M91" i="34"/>
  <c r="L91" i="34"/>
  <c r="K91" i="34"/>
  <c r="J91" i="34"/>
  <c r="I91" i="34"/>
  <c r="H91" i="34"/>
  <c r="G91" i="34"/>
  <c r="F91" i="34"/>
  <c r="E91" i="34"/>
  <c r="O90" i="34"/>
  <c r="N90" i="34"/>
  <c r="M90" i="34"/>
  <c r="L90" i="34"/>
  <c r="K90" i="34"/>
  <c r="J90" i="34"/>
  <c r="I90" i="34"/>
  <c r="H90" i="34"/>
  <c r="G90" i="34"/>
  <c r="F90" i="34"/>
  <c r="E90" i="34"/>
  <c r="O89" i="34"/>
  <c r="N89" i="34"/>
  <c r="M89" i="34"/>
  <c r="L89" i="34"/>
  <c r="K89" i="34"/>
  <c r="J89" i="34"/>
  <c r="I89" i="34"/>
  <c r="H89" i="34"/>
  <c r="G89" i="34"/>
  <c r="F89" i="34"/>
  <c r="E89" i="34"/>
  <c r="O88" i="34"/>
  <c r="N88" i="34"/>
  <c r="M88" i="34"/>
  <c r="L88" i="34"/>
  <c r="K88" i="34"/>
  <c r="J88" i="34"/>
  <c r="I88" i="34"/>
  <c r="H88" i="34"/>
  <c r="G88" i="34"/>
  <c r="F88" i="34"/>
  <c r="E88" i="34"/>
  <c r="O87" i="34"/>
  <c r="N87" i="34"/>
  <c r="M87" i="34"/>
  <c r="L87" i="34"/>
  <c r="K87" i="34"/>
  <c r="J87" i="34"/>
  <c r="I87" i="34"/>
  <c r="H87" i="34"/>
  <c r="G87" i="34"/>
  <c r="F87" i="34"/>
  <c r="E87" i="34"/>
  <c r="O86" i="34"/>
  <c r="N86" i="34"/>
  <c r="M86" i="34"/>
  <c r="L86" i="34"/>
  <c r="K86" i="34"/>
  <c r="J86" i="34"/>
  <c r="I86" i="34"/>
  <c r="H86" i="34"/>
  <c r="G86" i="34"/>
  <c r="F86" i="34"/>
  <c r="E86" i="34"/>
  <c r="O85" i="34"/>
  <c r="N85" i="34"/>
  <c r="M85" i="34"/>
  <c r="L85" i="34"/>
  <c r="K85" i="34"/>
  <c r="J85" i="34"/>
  <c r="I85" i="34"/>
  <c r="H85" i="34"/>
  <c r="G85" i="34"/>
  <c r="F85" i="34"/>
  <c r="E85" i="34"/>
  <c r="O84" i="34"/>
  <c r="N84" i="34"/>
  <c r="M84" i="34"/>
  <c r="L84" i="34"/>
  <c r="K84" i="34"/>
  <c r="J84" i="34"/>
  <c r="I84" i="34"/>
  <c r="H84" i="34"/>
  <c r="G84" i="34"/>
  <c r="F84" i="34"/>
  <c r="E84" i="34"/>
  <c r="O83" i="34"/>
  <c r="N83" i="34"/>
  <c r="M83" i="34"/>
  <c r="L83" i="34"/>
  <c r="K83" i="34"/>
  <c r="J83" i="34"/>
  <c r="I83" i="34"/>
  <c r="H83" i="34"/>
  <c r="G83" i="34"/>
  <c r="F83" i="34"/>
  <c r="E83" i="34"/>
  <c r="O82" i="34"/>
  <c r="N82" i="34"/>
  <c r="M82" i="34"/>
  <c r="L82" i="34"/>
  <c r="K82" i="34"/>
  <c r="J82" i="34"/>
  <c r="I82" i="34"/>
  <c r="H82" i="34"/>
  <c r="G82" i="34"/>
  <c r="F82" i="34"/>
  <c r="E82" i="34"/>
  <c r="O81" i="34"/>
  <c r="N81" i="34"/>
  <c r="M81" i="34"/>
  <c r="L81" i="34"/>
  <c r="K81" i="34"/>
  <c r="J81" i="34"/>
  <c r="I81" i="34"/>
  <c r="H81" i="34"/>
  <c r="G81" i="34"/>
  <c r="F81" i="34"/>
  <c r="E81" i="34"/>
  <c r="O80" i="34"/>
  <c r="N80" i="34"/>
  <c r="M80" i="34"/>
  <c r="L80" i="34"/>
  <c r="K80" i="34"/>
  <c r="J80" i="34"/>
  <c r="I80" i="34"/>
  <c r="H80" i="34"/>
  <c r="G80" i="34"/>
  <c r="F80" i="34"/>
  <c r="E80" i="34"/>
  <c r="O79" i="34"/>
  <c r="N79" i="34"/>
  <c r="M79" i="34"/>
  <c r="L79" i="34"/>
  <c r="K79" i="34"/>
  <c r="J79" i="34"/>
  <c r="I79" i="34"/>
  <c r="H79" i="34"/>
  <c r="G79" i="34"/>
  <c r="F79" i="34"/>
  <c r="E79" i="34"/>
  <c r="O78" i="34"/>
  <c r="N78" i="34"/>
  <c r="M78" i="34"/>
  <c r="L78" i="34"/>
  <c r="K78" i="34"/>
  <c r="J78" i="34"/>
  <c r="I78" i="34"/>
  <c r="H78" i="34"/>
  <c r="G78" i="34"/>
  <c r="F78" i="34"/>
  <c r="E78" i="34"/>
  <c r="O77" i="34"/>
  <c r="N77" i="34"/>
  <c r="M77" i="34"/>
  <c r="L77" i="34"/>
  <c r="K77" i="34"/>
  <c r="J77" i="34"/>
  <c r="I77" i="34"/>
  <c r="H77" i="34"/>
  <c r="G77" i="34"/>
  <c r="F77" i="34"/>
  <c r="E77" i="34"/>
  <c r="O76" i="34"/>
  <c r="N76" i="34"/>
  <c r="M76" i="34"/>
  <c r="L76" i="34"/>
  <c r="K76" i="34"/>
  <c r="J76" i="34"/>
  <c r="I76" i="34"/>
  <c r="H76" i="34"/>
  <c r="G76" i="34"/>
  <c r="F76" i="34"/>
  <c r="E76" i="34"/>
  <c r="O75" i="34"/>
  <c r="N75" i="34"/>
  <c r="M75" i="34"/>
  <c r="L75" i="34"/>
  <c r="K75" i="34"/>
  <c r="J75" i="34"/>
  <c r="I75" i="34"/>
  <c r="H75" i="34"/>
  <c r="G75" i="34"/>
  <c r="F75" i="34"/>
  <c r="E75" i="34"/>
  <c r="O74" i="34"/>
  <c r="N74" i="34"/>
  <c r="M74" i="34"/>
  <c r="L74" i="34"/>
  <c r="K74" i="34"/>
  <c r="J74" i="34"/>
  <c r="I74" i="34"/>
  <c r="H74" i="34"/>
  <c r="G74" i="34"/>
  <c r="F74" i="34"/>
  <c r="E74" i="34"/>
  <c r="O73" i="34"/>
  <c r="N73" i="34"/>
  <c r="M73" i="34"/>
  <c r="L73" i="34"/>
  <c r="K73" i="34"/>
  <c r="J73" i="34"/>
  <c r="I73" i="34"/>
  <c r="H73" i="34"/>
  <c r="G73" i="34"/>
  <c r="F73" i="34"/>
  <c r="E73" i="34"/>
  <c r="O72" i="34"/>
  <c r="N72" i="34"/>
  <c r="M72" i="34"/>
  <c r="L72" i="34"/>
  <c r="K72" i="34"/>
  <c r="J72" i="34"/>
  <c r="I72" i="34"/>
  <c r="H72" i="34"/>
  <c r="G72" i="34"/>
  <c r="F72" i="34"/>
  <c r="E72" i="34"/>
  <c r="O71" i="34"/>
  <c r="N71" i="34"/>
  <c r="M71" i="34"/>
  <c r="L71" i="34"/>
  <c r="K71" i="34"/>
  <c r="J71" i="34"/>
  <c r="I71" i="34"/>
  <c r="H71" i="34"/>
  <c r="G71" i="34"/>
  <c r="F71" i="34"/>
  <c r="E71" i="34"/>
  <c r="O70" i="34"/>
  <c r="N70" i="34"/>
  <c r="M70" i="34"/>
  <c r="L70" i="34"/>
  <c r="K70" i="34"/>
  <c r="J70" i="34"/>
  <c r="I70" i="34"/>
  <c r="H70" i="34"/>
  <c r="G70" i="34"/>
  <c r="F70" i="34"/>
  <c r="E70" i="34"/>
  <c r="O69" i="34"/>
  <c r="N69" i="34"/>
  <c r="M69" i="34"/>
  <c r="L69" i="34"/>
  <c r="K69" i="34"/>
  <c r="J69" i="34"/>
  <c r="I69" i="34"/>
  <c r="H69" i="34"/>
  <c r="G69" i="34"/>
  <c r="F69" i="34"/>
  <c r="E69" i="34"/>
  <c r="O68" i="34"/>
  <c r="N68" i="34"/>
  <c r="M68" i="34"/>
  <c r="L68" i="34"/>
  <c r="K68" i="34"/>
  <c r="J68" i="34"/>
  <c r="I68" i="34"/>
  <c r="H68" i="34"/>
  <c r="G68" i="34"/>
  <c r="F68" i="34"/>
  <c r="E68" i="34"/>
  <c r="O67" i="34"/>
  <c r="N67" i="34"/>
  <c r="M67" i="34"/>
  <c r="L67" i="34"/>
  <c r="K67" i="34"/>
  <c r="J67" i="34"/>
  <c r="I67" i="34"/>
  <c r="H67" i="34"/>
  <c r="G67" i="34"/>
  <c r="F67" i="34"/>
  <c r="E67" i="34"/>
  <c r="O66" i="34"/>
  <c r="N66" i="34"/>
  <c r="M66" i="34"/>
  <c r="L66" i="34"/>
  <c r="K66" i="34"/>
  <c r="J66" i="34"/>
  <c r="I66" i="34"/>
  <c r="H66" i="34"/>
  <c r="G66" i="34"/>
  <c r="F66" i="34"/>
  <c r="E66" i="34"/>
  <c r="O65" i="34"/>
  <c r="N65" i="34"/>
  <c r="M65" i="34"/>
  <c r="L65" i="34"/>
  <c r="K65" i="34"/>
  <c r="J65" i="34"/>
  <c r="I65" i="34"/>
  <c r="H65" i="34"/>
  <c r="G65" i="34"/>
  <c r="F65" i="34"/>
  <c r="E65" i="34"/>
  <c r="O64" i="34"/>
  <c r="N64" i="34"/>
  <c r="M64" i="34"/>
  <c r="L64" i="34"/>
  <c r="K64" i="34"/>
  <c r="J64" i="34"/>
  <c r="I64" i="34"/>
  <c r="H64" i="34"/>
  <c r="G64" i="34"/>
  <c r="F64" i="34"/>
  <c r="E64" i="34"/>
  <c r="O63" i="34"/>
  <c r="N63" i="34"/>
  <c r="M63" i="34"/>
  <c r="L63" i="34"/>
  <c r="K63" i="34"/>
  <c r="J63" i="34"/>
  <c r="I63" i="34"/>
  <c r="H63" i="34"/>
  <c r="G63" i="34"/>
  <c r="F63" i="34"/>
  <c r="E63" i="34"/>
  <c r="O62" i="34"/>
  <c r="N62" i="34"/>
  <c r="M62" i="34"/>
  <c r="L62" i="34"/>
  <c r="K62" i="34"/>
  <c r="J62" i="34"/>
  <c r="I62" i="34"/>
  <c r="H62" i="34"/>
  <c r="G62" i="34"/>
  <c r="F62" i="34"/>
  <c r="E62" i="34"/>
  <c r="O61" i="34"/>
  <c r="N61" i="34"/>
  <c r="M61" i="34"/>
  <c r="L61" i="34"/>
  <c r="K61" i="34"/>
  <c r="J61" i="34"/>
  <c r="I61" i="34"/>
  <c r="H61" i="34"/>
  <c r="G61" i="34"/>
  <c r="F61" i="34"/>
  <c r="E61" i="34"/>
  <c r="O60" i="34"/>
  <c r="N60" i="34"/>
  <c r="M60" i="34"/>
  <c r="L60" i="34"/>
  <c r="K60" i="34"/>
  <c r="J60" i="34"/>
  <c r="I60" i="34"/>
  <c r="H60" i="34"/>
  <c r="G60" i="34"/>
  <c r="F60" i="34"/>
  <c r="E60" i="34"/>
  <c r="O59" i="34"/>
  <c r="N59" i="34"/>
  <c r="M59" i="34"/>
  <c r="L59" i="34"/>
  <c r="K59" i="34"/>
  <c r="J59" i="34"/>
  <c r="I59" i="34"/>
  <c r="H59" i="34"/>
  <c r="G59" i="34"/>
  <c r="F59" i="34"/>
  <c r="E59" i="34"/>
  <c r="O58" i="34"/>
  <c r="N58" i="34"/>
  <c r="M58" i="34"/>
  <c r="L58" i="34"/>
  <c r="K58" i="34"/>
  <c r="J58" i="34"/>
  <c r="I58" i="34"/>
  <c r="H58" i="34"/>
  <c r="G58" i="34"/>
  <c r="F58" i="34"/>
  <c r="E58" i="34"/>
  <c r="O57" i="34"/>
  <c r="N57" i="34"/>
  <c r="M57" i="34"/>
  <c r="L57" i="34"/>
  <c r="K57" i="34"/>
  <c r="J57" i="34"/>
  <c r="I57" i="34"/>
  <c r="H57" i="34"/>
  <c r="G57" i="34"/>
  <c r="F57" i="34"/>
  <c r="E57" i="34"/>
  <c r="O56" i="34"/>
  <c r="N56" i="34"/>
  <c r="M56" i="34"/>
  <c r="L56" i="34"/>
  <c r="K56" i="34"/>
  <c r="J56" i="34"/>
  <c r="I56" i="34"/>
  <c r="H56" i="34"/>
  <c r="G56" i="34"/>
  <c r="F56" i="34"/>
  <c r="E56" i="34"/>
  <c r="O55" i="34"/>
  <c r="N55" i="34"/>
  <c r="M55" i="34"/>
  <c r="L55" i="34"/>
  <c r="K55" i="34"/>
  <c r="J55" i="34"/>
  <c r="I55" i="34"/>
  <c r="H55" i="34"/>
  <c r="G55" i="34"/>
  <c r="F55" i="34"/>
  <c r="E55" i="34"/>
  <c r="O54" i="34"/>
  <c r="N54" i="34"/>
  <c r="M54" i="34"/>
  <c r="L54" i="34"/>
  <c r="K54" i="34"/>
  <c r="J54" i="34"/>
  <c r="I54" i="34"/>
  <c r="H54" i="34"/>
  <c r="G54" i="34"/>
  <c r="F54" i="34"/>
  <c r="E54" i="34"/>
  <c r="O53" i="34"/>
  <c r="N53" i="34"/>
  <c r="M53" i="34"/>
  <c r="L53" i="34"/>
  <c r="K53" i="34"/>
  <c r="J53" i="34"/>
  <c r="I53" i="34"/>
  <c r="H53" i="34"/>
  <c r="G53" i="34"/>
  <c r="F53" i="34"/>
  <c r="E53" i="34"/>
  <c r="O52" i="34"/>
  <c r="N52" i="34"/>
  <c r="M52" i="34"/>
  <c r="L52" i="34"/>
  <c r="K52" i="34"/>
  <c r="J52" i="34"/>
  <c r="I52" i="34"/>
  <c r="H52" i="34"/>
  <c r="G52" i="34"/>
  <c r="F52" i="34"/>
  <c r="E52" i="34"/>
  <c r="O51" i="34"/>
  <c r="N51" i="34"/>
  <c r="M51" i="34"/>
  <c r="L51" i="34"/>
  <c r="K51" i="34"/>
  <c r="J51" i="34"/>
  <c r="I51" i="34"/>
  <c r="H51" i="34"/>
  <c r="G51" i="34"/>
  <c r="F51" i="34"/>
  <c r="E51" i="34"/>
  <c r="O50" i="34"/>
  <c r="N50" i="34"/>
  <c r="M50" i="34"/>
  <c r="L50" i="34"/>
  <c r="K50" i="34"/>
  <c r="J50" i="34"/>
  <c r="I50" i="34"/>
  <c r="H50" i="34"/>
  <c r="G50" i="34"/>
  <c r="F50" i="34"/>
  <c r="E50" i="34"/>
  <c r="O49" i="34"/>
  <c r="N49" i="34"/>
  <c r="M49" i="34"/>
  <c r="L49" i="34"/>
  <c r="K49" i="34"/>
  <c r="J49" i="34"/>
  <c r="I49" i="34"/>
  <c r="H49" i="34"/>
  <c r="G49" i="34"/>
  <c r="F49" i="34"/>
  <c r="E49" i="34"/>
  <c r="O48" i="34"/>
  <c r="N48" i="34"/>
  <c r="M48" i="34"/>
  <c r="L48" i="34"/>
  <c r="K48" i="34"/>
  <c r="J48" i="34"/>
  <c r="I48" i="34"/>
  <c r="H48" i="34"/>
  <c r="G48" i="34"/>
  <c r="F48" i="34"/>
  <c r="E48" i="34"/>
  <c r="O47" i="34"/>
  <c r="N47" i="34"/>
  <c r="M47" i="34"/>
  <c r="L47" i="34"/>
  <c r="K47" i="34"/>
  <c r="J47" i="34"/>
  <c r="I47" i="34"/>
  <c r="H47" i="34"/>
  <c r="G47" i="34"/>
  <c r="F47" i="34"/>
  <c r="E47" i="34"/>
  <c r="O46" i="34"/>
  <c r="N46" i="34"/>
  <c r="M46" i="34"/>
  <c r="L46" i="34"/>
  <c r="K46" i="34"/>
  <c r="J46" i="34"/>
  <c r="I46" i="34"/>
  <c r="H46" i="34"/>
  <c r="G46" i="34"/>
  <c r="F46" i="34"/>
  <c r="E46" i="34"/>
  <c r="O45" i="34"/>
  <c r="N45" i="34"/>
  <c r="M45" i="34"/>
  <c r="L45" i="34"/>
  <c r="K45" i="34"/>
  <c r="J45" i="34"/>
  <c r="I45" i="34"/>
  <c r="H45" i="34"/>
  <c r="G45" i="34"/>
  <c r="F45" i="34"/>
  <c r="E45" i="34"/>
  <c r="O44" i="34"/>
  <c r="N44" i="34"/>
  <c r="M44" i="34"/>
  <c r="L44" i="34"/>
  <c r="K44" i="34"/>
  <c r="J44" i="34"/>
  <c r="I44" i="34"/>
  <c r="H44" i="34"/>
  <c r="G44" i="34"/>
  <c r="F44" i="34"/>
  <c r="E44" i="34"/>
  <c r="O43" i="34"/>
  <c r="N43" i="34"/>
  <c r="M43" i="34"/>
  <c r="L43" i="34"/>
  <c r="K43" i="34"/>
  <c r="J43" i="34"/>
  <c r="I43" i="34"/>
  <c r="H43" i="34"/>
  <c r="G43" i="34"/>
  <c r="F43" i="34"/>
  <c r="E43" i="34"/>
  <c r="O42" i="34"/>
  <c r="N42" i="34"/>
  <c r="M42" i="34"/>
  <c r="L42" i="34"/>
  <c r="K42" i="34"/>
  <c r="J42" i="34"/>
  <c r="I42" i="34"/>
  <c r="H42" i="34"/>
  <c r="G42" i="34"/>
  <c r="F42" i="34"/>
  <c r="E42" i="34"/>
  <c r="O41" i="34"/>
  <c r="N41" i="34"/>
  <c r="M41" i="34"/>
  <c r="L41" i="34"/>
  <c r="K41" i="34"/>
  <c r="J41" i="34"/>
  <c r="I41" i="34"/>
  <c r="H41" i="34"/>
  <c r="G41" i="34"/>
  <c r="F41" i="34"/>
  <c r="E41" i="34"/>
  <c r="O40" i="34"/>
  <c r="N40" i="34"/>
  <c r="M40" i="34"/>
  <c r="L40" i="34"/>
  <c r="K40" i="34"/>
  <c r="J40" i="34"/>
  <c r="I40" i="34"/>
  <c r="H40" i="34"/>
  <c r="G40" i="34"/>
  <c r="F40" i="34"/>
  <c r="E40" i="34"/>
  <c r="O39" i="34"/>
  <c r="N39" i="34"/>
  <c r="M39" i="34"/>
  <c r="L39" i="34"/>
  <c r="K39" i="34"/>
  <c r="J39" i="34"/>
  <c r="I39" i="34"/>
  <c r="H39" i="34"/>
  <c r="G39" i="34"/>
  <c r="F39" i="34"/>
  <c r="E39" i="34"/>
  <c r="O38" i="34"/>
  <c r="N38" i="34"/>
  <c r="M38" i="34"/>
  <c r="L38" i="34"/>
  <c r="K38" i="34"/>
  <c r="J38" i="34"/>
  <c r="I38" i="34"/>
  <c r="H38" i="34"/>
  <c r="G38" i="34"/>
  <c r="F38" i="34"/>
  <c r="E38" i="34"/>
  <c r="O37" i="34"/>
  <c r="N37" i="34"/>
  <c r="M37" i="34"/>
  <c r="L37" i="34"/>
  <c r="K37" i="34"/>
  <c r="J37" i="34"/>
  <c r="I37" i="34"/>
  <c r="H37" i="34"/>
  <c r="G37" i="34"/>
  <c r="F37" i="34"/>
  <c r="E37" i="34"/>
  <c r="O36" i="34"/>
  <c r="N36" i="34"/>
  <c r="M36" i="34"/>
  <c r="L36" i="34"/>
  <c r="K36" i="34"/>
  <c r="J36" i="34"/>
  <c r="I36" i="34"/>
  <c r="H36" i="34"/>
  <c r="G36" i="34"/>
  <c r="F36" i="34"/>
  <c r="E36" i="34"/>
  <c r="O35" i="34"/>
  <c r="N35" i="34"/>
  <c r="M35" i="34"/>
  <c r="L35" i="34"/>
  <c r="K35" i="34"/>
  <c r="J35" i="34"/>
  <c r="I35" i="34"/>
  <c r="H35" i="34"/>
  <c r="G35" i="34"/>
  <c r="F35" i="34"/>
  <c r="E35" i="34"/>
  <c r="O34" i="34"/>
  <c r="N34" i="34"/>
  <c r="M34" i="34"/>
  <c r="L34" i="34"/>
  <c r="K34" i="34"/>
  <c r="J34" i="34"/>
  <c r="I34" i="34"/>
  <c r="H34" i="34"/>
  <c r="G34" i="34"/>
  <c r="F34" i="34"/>
  <c r="E34" i="34"/>
  <c r="O33" i="34"/>
  <c r="N33" i="34"/>
  <c r="M33" i="34"/>
  <c r="L33" i="34"/>
  <c r="K33" i="34"/>
  <c r="J33" i="34"/>
  <c r="I33" i="34"/>
  <c r="H33" i="34"/>
  <c r="G33" i="34"/>
  <c r="F33" i="34"/>
  <c r="E33" i="34"/>
  <c r="O32" i="34"/>
  <c r="N32" i="34"/>
  <c r="M32" i="34"/>
  <c r="L32" i="34"/>
  <c r="K32" i="34"/>
  <c r="J32" i="34"/>
  <c r="I32" i="34"/>
  <c r="H32" i="34"/>
  <c r="G32" i="34"/>
  <c r="F32" i="34"/>
  <c r="E32" i="34"/>
  <c r="O31" i="34"/>
  <c r="N31" i="34"/>
  <c r="M31" i="34"/>
  <c r="L31" i="34"/>
  <c r="K31" i="34"/>
  <c r="J31" i="34"/>
  <c r="I31" i="34"/>
  <c r="H31" i="34"/>
  <c r="G31" i="34"/>
  <c r="F31" i="34"/>
  <c r="E31" i="34"/>
  <c r="O30" i="34"/>
  <c r="N30" i="34"/>
  <c r="M30" i="34"/>
  <c r="L30" i="34"/>
  <c r="K30" i="34"/>
  <c r="J30" i="34"/>
  <c r="I30" i="34"/>
  <c r="H30" i="34"/>
  <c r="G30" i="34"/>
  <c r="F30" i="34"/>
  <c r="E30" i="34"/>
  <c r="O29" i="34"/>
  <c r="N29" i="34"/>
  <c r="M29" i="34"/>
  <c r="L29" i="34"/>
  <c r="K29" i="34"/>
  <c r="J29" i="34"/>
  <c r="I29" i="34"/>
  <c r="H29" i="34"/>
  <c r="G29" i="34"/>
  <c r="F29" i="34"/>
  <c r="E29" i="34"/>
  <c r="O28" i="34"/>
  <c r="N28" i="34"/>
  <c r="M28" i="34"/>
  <c r="L28" i="34"/>
  <c r="K28" i="34"/>
  <c r="J28" i="34"/>
  <c r="I28" i="34"/>
  <c r="H28" i="34"/>
  <c r="G28" i="34"/>
  <c r="F28" i="34"/>
  <c r="E28" i="34"/>
  <c r="O27" i="34"/>
  <c r="N27" i="34"/>
  <c r="M27" i="34"/>
  <c r="L27" i="34"/>
  <c r="K27" i="34"/>
  <c r="J27" i="34"/>
  <c r="I27" i="34"/>
  <c r="H27" i="34"/>
  <c r="G27" i="34"/>
  <c r="F27" i="34"/>
  <c r="E27" i="34"/>
  <c r="O26" i="34"/>
  <c r="N26" i="34"/>
  <c r="M26" i="34"/>
  <c r="L26" i="34"/>
  <c r="K26" i="34"/>
  <c r="J26" i="34"/>
  <c r="I26" i="34"/>
  <c r="H26" i="34"/>
  <c r="G26" i="34"/>
  <c r="F26" i="34"/>
  <c r="E26" i="34"/>
  <c r="O25" i="34"/>
  <c r="N25" i="34"/>
  <c r="M25" i="34"/>
  <c r="L25" i="34"/>
  <c r="K25" i="34"/>
  <c r="J25" i="34"/>
  <c r="I25" i="34"/>
  <c r="H25" i="34"/>
  <c r="G25" i="34"/>
  <c r="F25" i="34"/>
  <c r="E25" i="34"/>
  <c r="O24" i="34"/>
  <c r="N24" i="34"/>
  <c r="M24" i="34"/>
  <c r="L24" i="34"/>
  <c r="K24" i="34"/>
  <c r="J24" i="34"/>
  <c r="I24" i="34"/>
  <c r="H24" i="34"/>
  <c r="G24" i="34"/>
  <c r="F24" i="34"/>
  <c r="E24" i="34"/>
  <c r="O23" i="34"/>
  <c r="N23" i="34"/>
  <c r="M23" i="34"/>
  <c r="L23" i="34"/>
  <c r="K23" i="34"/>
  <c r="J23" i="34"/>
  <c r="I23" i="34"/>
  <c r="H23" i="34"/>
  <c r="G23" i="34"/>
  <c r="F23" i="34"/>
  <c r="E23" i="34"/>
  <c r="O22" i="34"/>
  <c r="N22" i="34"/>
  <c r="M22" i="34"/>
  <c r="L22" i="34"/>
  <c r="K22" i="34"/>
  <c r="J22" i="34"/>
  <c r="I22" i="34"/>
  <c r="H22" i="34"/>
  <c r="G22" i="34"/>
  <c r="F22" i="34"/>
  <c r="E22" i="34"/>
  <c r="O21" i="34"/>
  <c r="N21" i="34"/>
  <c r="M21" i="34"/>
  <c r="L21" i="34"/>
  <c r="K21" i="34"/>
  <c r="J21" i="34"/>
  <c r="I21" i="34"/>
  <c r="H21" i="34"/>
  <c r="G21" i="34"/>
  <c r="F21" i="34"/>
  <c r="E21" i="34"/>
  <c r="O20" i="34"/>
  <c r="N20" i="34"/>
  <c r="M20" i="34"/>
  <c r="L20" i="34"/>
  <c r="K20" i="34"/>
  <c r="J20" i="34"/>
  <c r="I20" i="34"/>
  <c r="H20" i="34"/>
  <c r="G20" i="34"/>
  <c r="F20" i="34"/>
  <c r="E20" i="34"/>
  <c r="O19" i="34"/>
  <c r="N19" i="34"/>
  <c r="M19" i="34"/>
  <c r="L19" i="34"/>
  <c r="K19" i="34"/>
  <c r="J19" i="34"/>
  <c r="I19" i="34"/>
  <c r="H19" i="34"/>
  <c r="G19" i="34"/>
  <c r="F19" i="34"/>
  <c r="E19" i="34"/>
  <c r="P19" i="34" s="1"/>
  <c r="O18" i="34"/>
  <c r="N18" i="34"/>
  <c r="M18" i="34"/>
  <c r="L18" i="34"/>
  <c r="K18" i="34"/>
  <c r="J18" i="34"/>
  <c r="I18" i="34"/>
  <c r="H18" i="34"/>
  <c r="G18" i="34"/>
  <c r="F18" i="34"/>
  <c r="E18" i="34"/>
  <c r="O17" i="34"/>
  <c r="N17" i="34"/>
  <c r="M17" i="34"/>
  <c r="L17" i="34"/>
  <c r="K17" i="34"/>
  <c r="J17" i="34"/>
  <c r="I17" i="34"/>
  <c r="H17" i="34"/>
  <c r="G17" i="34"/>
  <c r="F17" i="34"/>
  <c r="E17" i="34"/>
  <c r="O16" i="34"/>
  <c r="N16" i="34"/>
  <c r="M16" i="34"/>
  <c r="L16" i="34"/>
  <c r="K16" i="34"/>
  <c r="J16" i="34"/>
  <c r="I16" i="34"/>
  <c r="H16" i="34"/>
  <c r="G16" i="34"/>
  <c r="F16" i="34"/>
  <c r="E16" i="34"/>
  <c r="O15" i="34"/>
  <c r="N15" i="34"/>
  <c r="M15" i="34"/>
  <c r="L15" i="34"/>
  <c r="K15" i="34"/>
  <c r="J15" i="34"/>
  <c r="I15" i="34"/>
  <c r="H15" i="34"/>
  <c r="G15" i="34"/>
  <c r="F15" i="34"/>
  <c r="E15" i="34"/>
  <c r="O14" i="34"/>
  <c r="N14" i="34"/>
  <c r="M14" i="34"/>
  <c r="L14" i="34"/>
  <c r="K14" i="34"/>
  <c r="J14" i="34"/>
  <c r="I14" i="34"/>
  <c r="H14" i="34"/>
  <c r="G14" i="34"/>
  <c r="F14" i="34"/>
  <c r="E14" i="34"/>
  <c r="O13" i="34"/>
  <c r="N13" i="34"/>
  <c r="M13" i="34"/>
  <c r="L13" i="34"/>
  <c r="K13" i="34"/>
  <c r="J13" i="34"/>
  <c r="I13" i="34"/>
  <c r="H13" i="34"/>
  <c r="G13" i="34"/>
  <c r="F13" i="34"/>
  <c r="E13" i="34"/>
  <c r="O12" i="34"/>
  <c r="N12" i="34"/>
  <c r="M12" i="34"/>
  <c r="L12" i="34"/>
  <c r="K12" i="34"/>
  <c r="J12" i="34"/>
  <c r="I12" i="34"/>
  <c r="H12" i="34"/>
  <c r="G12" i="34"/>
  <c r="F12" i="34"/>
  <c r="E12" i="34"/>
  <c r="O11" i="34"/>
  <c r="N11" i="34"/>
  <c r="M11" i="34"/>
  <c r="L11" i="34"/>
  <c r="K11" i="34"/>
  <c r="J11" i="34"/>
  <c r="I11" i="34"/>
  <c r="H11" i="34"/>
  <c r="G11" i="34"/>
  <c r="F11" i="34"/>
  <c r="E11" i="34"/>
  <c r="O10" i="34"/>
  <c r="N10" i="34"/>
  <c r="M10" i="34"/>
  <c r="L10" i="34"/>
  <c r="K10" i="34"/>
  <c r="J10" i="34"/>
  <c r="I10" i="34"/>
  <c r="H10" i="34"/>
  <c r="G10" i="34"/>
  <c r="F10" i="34"/>
  <c r="E10" i="34"/>
  <c r="O9" i="34"/>
  <c r="N9" i="34"/>
  <c r="M9" i="34"/>
  <c r="L9" i="34"/>
  <c r="K9" i="34"/>
  <c r="J9" i="34"/>
  <c r="I9" i="34"/>
  <c r="H9" i="34"/>
  <c r="G9" i="34"/>
  <c r="F9" i="34"/>
  <c r="E9" i="34"/>
  <c r="O8" i="34"/>
  <c r="N8" i="34"/>
  <c r="M8" i="34"/>
  <c r="L8" i="34"/>
  <c r="K8" i="34"/>
  <c r="J8" i="34"/>
  <c r="I8" i="34"/>
  <c r="H8" i="34"/>
  <c r="G8" i="34"/>
  <c r="F8" i="34"/>
  <c r="E8" i="34"/>
  <c r="O7" i="34"/>
  <c r="N7" i="34"/>
  <c r="M7" i="34"/>
  <c r="L7" i="34"/>
  <c r="K7" i="34"/>
  <c r="J7" i="34"/>
  <c r="I7" i="34"/>
  <c r="H7" i="34"/>
  <c r="G7" i="34"/>
  <c r="F7" i="34"/>
  <c r="E7" i="34"/>
  <c r="P7" i="34" s="1"/>
  <c r="O6" i="34"/>
  <c r="N6" i="34"/>
  <c r="M6" i="34"/>
  <c r="L6" i="34"/>
  <c r="K6" i="34"/>
  <c r="J6" i="34"/>
  <c r="I6" i="34"/>
  <c r="H6" i="34"/>
  <c r="G6" i="34"/>
  <c r="F6" i="34"/>
  <c r="E6" i="34"/>
  <c r="O5" i="34"/>
  <c r="N5" i="34"/>
  <c r="M5" i="34"/>
  <c r="L5" i="34"/>
  <c r="K5" i="34"/>
  <c r="J5" i="34"/>
  <c r="I5" i="34"/>
  <c r="H5" i="34"/>
  <c r="G5" i="34"/>
  <c r="F5" i="34"/>
  <c r="E5" i="34"/>
  <c r="O4" i="34"/>
  <c r="N4" i="34"/>
  <c r="M4" i="34"/>
  <c r="L4" i="34"/>
  <c r="K4" i="34"/>
  <c r="J4" i="34"/>
  <c r="I4" i="34"/>
  <c r="H4" i="34"/>
  <c r="G4" i="34"/>
  <c r="F4" i="34"/>
  <c r="E4" i="34"/>
  <c r="N7" i="35"/>
  <c r="N12" i="35"/>
  <c r="N19" i="35"/>
  <c r="M19" i="35"/>
  <c r="L19" i="35"/>
  <c r="K19" i="35"/>
  <c r="J19" i="35"/>
  <c r="I19" i="35"/>
  <c r="H19" i="35"/>
  <c r="G19" i="35"/>
  <c r="F19" i="35"/>
  <c r="E19" i="35"/>
  <c r="D19" i="35"/>
  <c r="C19" i="35"/>
  <c r="M14" i="35"/>
  <c r="L14" i="35"/>
  <c r="K14" i="35"/>
  <c r="J14" i="35"/>
  <c r="I14" i="35"/>
  <c r="H14" i="35"/>
  <c r="G14" i="35"/>
  <c r="F14" i="35"/>
  <c r="E14" i="35"/>
  <c r="D14" i="35"/>
  <c r="C14" i="35"/>
  <c r="M7" i="35"/>
  <c r="M9" i="35" s="1"/>
  <c r="L7" i="35"/>
  <c r="L9" i="35" s="1"/>
  <c r="L12" i="35" s="1"/>
  <c r="K7" i="35"/>
  <c r="K9" i="35" s="1"/>
  <c r="K12" i="35" s="1"/>
  <c r="J7" i="35"/>
  <c r="J9" i="35" s="1"/>
  <c r="I7" i="35"/>
  <c r="I9" i="35" s="1"/>
  <c r="I16" i="35" s="1"/>
  <c r="H7" i="35"/>
  <c r="H9" i="35" s="1"/>
  <c r="G7" i="35"/>
  <c r="G9" i="35" s="1"/>
  <c r="F7" i="35"/>
  <c r="F9" i="35" s="1"/>
  <c r="E7" i="35"/>
  <c r="E9" i="35" s="1"/>
  <c r="D7" i="35"/>
  <c r="D9" i="35" s="1"/>
  <c r="C7" i="35"/>
  <c r="C9" i="35" s="1"/>
  <c r="P243" i="34" l="1"/>
  <c r="P255" i="34"/>
  <c r="P279" i="34"/>
  <c r="P254" i="34"/>
  <c r="P266" i="34"/>
  <c r="P278" i="34"/>
  <c r="P269" i="34"/>
  <c r="P244" i="34"/>
  <c r="P256" i="34"/>
  <c r="P268" i="34"/>
  <c r="P280" i="34"/>
  <c r="P267" i="34"/>
  <c r="P241" i="34"/>
  <c r="P253" i="34"/>
  <c r="P265" i="34"/>
  <c r="P277" i="34"/>
  <c r="P240" i="34"/>
  <c r="P252" i="34"/>
  <c r="P264" i="34"/>
  <c r="P276" i="34"/>
  <c r="P242" i="34"/>
  <c r="P4" i="34"/>
  <c r="H4" i="10" s="1"/>
  <c r="P5" i="34"/>
  <c r="P6" i="34"/>
  <c r="P11" i="34"/>
  <c r="P14" i="34"/>
  <c r="P15" i="34"/>
  <c r="P16" i="34"/>
  <c r="P17" i="34"/>
  <c r="P18" i="34"/>
  <c r="P23" i="34"/>
  <c r="P29" i="34"/>
  <c r="P30" i="34"/>
  <c r="P31" i="34"/>
  <c r="P35" i="34"/>
  <c r="P41" i="34"/>
  <c r="P42" i="34"/>
  <c r="P43" i="34"/>
  <c r="P47" i="34"/>
  <c r="P53" i="34"/>
  <c r="P54" i="34"/>
  <c r="P55" i="34"/>
  <c r="P59" i="34"/>
  <c r="P65" i="34"/>
  <c r="P66" i="34"/>
  <c r="P67" i="34"/>
  <c r="P71" i="34"/>
  <c r="P77" i="34"/>
  <c r="P78" i="34"/>
  <c r="P79" i="34"/>
  <c r="P83" i="34"/>
  <c r="P89" i="34"/>
  <c r="P90" i="34"/>
  <c r="P91" i="34"/>
  <c r="P95" i="34"/>
  <c r="P101" i="34"/>
  <c r="P102" i="34"/>
  <c r="P103" i="34"/>
  <c r="P107" i="34"/>
  <c r="P113" i="34"/>
  <c r="P114" i="34"/>
  <c r="P115" i="34"/>
  <c r="P119" i="34"/>
  <c r="P126" i="34"/>
  <c r="P127" i="34"/>
  <c r="P131" i="34"/>
  <c r="P138" i="34"/>
  <c r="P139" i="34"/>
  <c r="P143" i="34"/>
  <c r="P150" i="34"/>
  <c r="P151" i="34"/>
  <c r="P155" i="34"/>
  <c r="P162" i="34"/>
  <c r="P163" i="34"/>
  <c r="P167" i="34"/>
  <c r="P174" i="34"/>
  <c r="P175" i="34"/>
  <c r="P179" i="34"/>
  <c r="P185" i="34"/>
  <c r="P186" i="34"/>
  <c r="P187" i="34"/>
  <c r="P191" i="34"/>
  <c r="P197" i="34"/>
  <c r="P198" i="34"/>
  <c r="P199" i="34"/>
  <c r="P203" i="34"/>
  <c r="P209" i="34"/>
  <c r="P210" i="34"/>
  <c r="P211" i="34"/>
  <c r="P215" i="34"/>
  <c r="P221" i="34"/>
  <c r="P222" i="34"/>
  <c r="P223" i="34"/>
  <c r="P227" i="34"/>
  <c r="P234" i="34"/>
  <c r="P235" i="34"/>
  <c r="P239" i="34"/>
  <c r="P245" i="34"/>
  <c r="P246" i="34"/>
  <c r="P247" i="34"/>
  <c r="P251" i="34"/>
  <c r="P258" i="34"/>
  <c r="P259" i="34"/>
  <c r="P263" i="34"/>
  <c r="P270" i="34"/>
  <c r="P271" i="34"/>
  <c r="P275" i="34"/>
  <c r="P281" i="34"/>
  <c r="P282" i="34"/>
  <c r="P10" i="34"/>
  <c r="P22" i="34"/>
  <c r="P34" i="34"/>
  <c r="P46" i="34"/>
  <c r="P58" i="34"/>
  <c r="P70" i="34"/>
  <c r="P82" i="34"/>
  <c r="P94" i="34"/>
  <c r="P106" i="34"/>
  <c r="P118" i="34"/>
  <c r="P130" i="34"/>
  <c r="P142" i="34"/>
  <c r="P154" i="34"/>
  <c r="P166" i="34"/>
  <c r="P178" i="34"/>
  <c r="P190" i="34"/>
  <c r="P202" i="34"/>
  <c r="P214" i="34"/>
  <c r="P226" i="34"/>
  <c r="P238" i="34"/>
  <c r="P250" i="34"/>
  <c r="P262" i="34"/>
  <c r="P274" i="34"/>
  <c r="P9" i="34"/>
  <c r="P21" i="34"/>
  <c r="P33" i="34"/>
  <c r="P45" i="34"/>
  <c r="P57" i="34"/>
  <c r="P69" i="34"/>
  <c r="P81" i="34"/>
  <c r="P93" i="34"/>
  <c r="P105" i="34"/>
  <c r="P117" i="34"/>
  <c r="P129" i="34"/>
  <c r="P141" i="34"/>
  <c r="P153" i="34"/>
  <c r="P165" i="34"/>
  <c r="P177" i="34"/>
  <c r="P189" i="34"/>
  <c r="P201" i="34"/>
  <c r="P213" i="34"/>
  <c r="P225" i="34"/>
  <c r="P237" i="34"/>
  <c r="P249" i="34"/>
  <c r="P261" i="34"/>
  <c r="P273" i="34"/>
  <c r="P8" i="34"/>
  <c r="P20" i="34"/>
  <c r="P32" i="34"/>
  <c r="P44" i="34"/>
  <c r="P56" i="34"/>
  <c r="P68" i="34"/>
  <c r="P80" i="34"/>
  <c r="P92" i="34"/>
  <c r="P104" i="34"/>
  <c r="P116" i="34"/>
  <c r="P128" i="34"/>
  <c r="P140" i="34"/>
  <c r="P152" i="34"/>
  <c r="P164" i="34"/>
  <c r="P176" i="34"/>
  <c r="P188" i="34"/>
  <c r="P200" i="34"/>
  <c r="P212" i="34"/>
  <c r="P224" i="34"/>
  <c r="P236" i="34"/>
  <c r="P248" i="34"/>
  <c r="P260" i="34"/>
  <c r="P272" i="34"/>
  <c r="P28" i="34"/>
  <c r="P40" i="34"/>
  <c r="P52" i="34"/>
  <c r="P64" i="34"/>
  <c r="P76" i="34"/>
  <c r="P88" i="34"/>
  <c r="P100" i="34"/>
  <c r="P112" i="34"/>
  <c r="P124" i="34"/>
  <c r="P136" i="34"/>
  <c r="P148" i="34"/>
  <c r="P160" i="34"/>
  <c r="P172" i="34"/>
  <c r="P184" i="34"/>
  <c r="P196" i="34"/>
  <c r="P208" i="34"/>
  <c r="P220" i="34"/>
  <c r="P232" i="34"/>
  <c r="P27" i="34"/>
  <c r="P39" i="34"/>
  <c r="P51" i="34"/>
  <c r="P63" i="34"/>
  <c r="P75" i="34"/>
  <c r="P87" i="34"/>
  <c r="P99" i="34"/>
  <c r="P111" i="34"/>
  <c r="P123" i="34"/>
  <c r="P135" i="34"/>
  <c r="P147" i="34"/>
  <c r="P159" i="34"/>
  <c r="P171" i="34"/>
  <c r="P183" i="34"/>
  <c r="P195" i="34"/>
  <c r="P207" i="34"/>
  <c r="P219" i="34"/>
  <c r="P231" i="34"/>
  <c r="P26" i="34"/>
  <c r="P38" i="34"/>
  <c r="P50" i="34"/>
  <c r="P62" i="34"/>
  <c r="P74" i="34"/>
  <c r="P86" i="34"/>
  <c r="P98" i="34"/>
  <c r="P110" i="34"/>
  <c r="P122" i="34"/>
  <c r="P134" i="34"/>
  <c r="P146" i="34"/>
  <c r="P158" i="34"/>
  <c r="P170" i="34"/>
  <c r="P182" i="34"/>
  <c r="P194" i="34"/>
  <c r="P206" i="34"/>
  <c r="P218" i="34"/>
  <c r="P230" i="34"/>
  <c r="P13" i="34"/>
  <c r="P25" i="34"/>
  <c r="P37" i="34"/>
  <c r="P49" i="34"/>
  <c r="P61" i="34"/>
  <c r="P73" i="34"/>
  <c r="P85" i="34"/>
  <c r="P97" i="34"/>
  <c r="P109" i="34"/>
  <c r="P121" i="34"/>
  <c r="P133" i="34"/>
  <c r="P145" i="34"/>
  <c r="P157" i="34"/>
  <c r="P169" i="34"/>
  <c r="P181" i="34"/>
  <c r="P193" i="34"/>
  <c r="P205" i="34"/>
  <c r="P217" i="34"/>
  <c r="P229" i="34"/>
  <c r="P12" i="34"/>
  <c r="P24" i="34"/>
  <c r="P36" i="34"/>
  <c r="P48" i="34"/>
  <c r="P60" i="34"/>
  <c r="P72" i="34"/>
  <c r="P84" i="34"/>
  <c r="P96" i="34"/>
  <c r="P108" i="34"/>
  <c r="P120" i="34"/>
  <c r="P132" i="34"/>
  <c r="P144" i="34"/>
  <c r="P156" i="34"/>
  <c r="P168" i="34"/>
  <c r="P180" i="34"/>
  <c r="P192" i="34"/>
  <c r="P204" i="34"/>
  <c r="P216" i="34"/>
  <c r="P228" i="34"/>
  <c r="N9" i="35"/>
  <c r="I12" i="35"/>
  <c r="M12" i="35"/>
  <c r="M16" i="35"/>
  <c r="C16" i="35"/>
  <c r="C12" i="35"/>
  <c r="I17" i="35"/>
  <c r="D12" i="35"/>
  <c r="D16" i="35"/>
  <c r="E16" i="35"/>
  <c r="E12" i="35"/>
  <c r="F16" i="35"/>
  <c r="F12" i="35"/>
  <c r="G12" i="35"/>
  <c r="G16" i="35"/>
  <c r="H12" i="35"/>
  <c r="H16" i="35"/>
  <c r="J16" i="35"/>
  <c r="J12" i="35"/>
  <c r="K16" i="35"/>
  <c r="L16" i="35"/>
  <c r="F17" i="35" l="1"/>
  <c r="E17" i="35"/>
  <c r="H17" i="35"/>
  <c r="C17" i="35"/>
  <c r="G17" i="35"/>
  <c r="D17" i="35"/>
  <c r="D15" i="24" l="1"/>
  <c r="M271" i="10"/>
  <c r="M263" i="10"/>
  <c r="M227" i="10"/>
  <c r="M215" i="10"/>
  <c r="M196" i="10"/>
  <c r="M158" i="10"/>
  <c r="M143" i="10"/>
  <c r="M128" i="10"/>
  <c r="M76" i="10"/>
  <c r="M55" i="10"/>
  <c r="M46" i="10"/>
  <c r="M44" i="10"/>
  <c r="M36" i="10"/>
  <c r="D9" i="33"/>
  <c r="D15" i="33"/>
  <c r="D12" i="33"/>
  <c r="D16" i="33"/>
  <c r="D14" i="33"/>
  <c r="D6" i="33"/>
  <c r="D11" i="33"/>
  <c r="D7" i="33"/>
  <c r="D13" i="33"/>
  <c r="D5" i="33"/>
  <c r="D10" i="33"/>
  <c r="D8" i="33"/>
  <c r="D4" i="33"/>
  <c r="D17" i="33" l="1"/>
  <c r="J249" i="10"/>
  <c r="J272" i="10"/>
  <c r="J201" i="10"/>
  <c r="J162" i="10"/>
  <c r="J145" i="10"/>
  <c r="J98" i="10"/>
  <c r="D14" i="24"/>
  <c r="D17" i="29"/>
  <c r="C17" i="29"/>
  <c r="E5" i="29"/>
  <c r="E6" i="29"/>
  <c r="E7" i="29"/>
  <c r="E8" i="29"/>
  <c r="E9" i="29"/>
  <c r="E10" i="29"/>
  <c r="E11" i="29"/>
  <c r="E12" i="29"/>
  <c r="E13" i="29"/>
  <c r="E14" i="29"/>
  <c r="E15" i="29"/>
  <c r="E16" i="29"/>
  <c r="E4" i="29"/>
  <c r="E17" i="29" s="1"/>
  <c r="D19" i="24"/>
  <c r="C13" i="8"/>
  <c r="J283" i="2"/>
  <c r="Q13" i="11"/>
  <c r="I283" i="2"/>
  <c r="G15" i="11"/>
  <c r="C14" i="11"/>
  <c r="T8" i="24"/>
  <c r="U8" i="24"/>
  <c r="T9" i="24"/>
  <c r="U9" i="24"/>
  <c r="T11" i="24"/>
  <c r="U11" i="24"/>
  <c r="T18" i="24"/>
  <c r="U18" i="24"/>
  <c r="T6" i="24"/>
  <c r="U6" i="24"/>
  <c r="T7" i="24"/>
  <c r="U7" i="24"/>
  <c r="C19" i="24"/>
  <c r="B19" i="24"/>
  <c r="C7" i="24"/>
  <c r="D7" i="24"/>
  <c r="E7" i="24"/>
  <c r="F7" i="24"/>
  <c r="G7" i="24"/>
  <c r="H7" i="24"/>
  <c r="I7" i="24"/>
  <c r="J7" i="24"/>
  <c r="K7" i="24"/>
  <c r="L7" i="24"/>
  <c r="M7" i="24"/>
  <c r="N7" i="24"/>
  <c r="O7" i="24"/>
  <c r="P7" i="24"/>
  <c r="Q7" i="24"/>
  <c r="R7" i="24"/>
  <c r="S7" i="24"/>
  <c r="B7" i="24"/>
  <c r="C6" i="24"/>
  <c r="D6" i="24"/>
  <c r="E6" i="24"/>
  <c r="F6" i="24"/>
  <c r="G6" i="24"/>
  <c r="H6" i="24"/>
  <c r="I6" i="24"/>
  <c r="J6" i="24"/>
  <c r="K6" i="24"/>
  <c r="L6" i="24"/>
  <c r="M6" i="24"/>
  <c r="N6" i="24"/>
  <c r="O6" i="24"/>
  <c r="P6" i="24"/>
  <c r="Q6" i="24"/>
  <c r="R6" i="24"/>
  <c r="S6" i="24"/>
  <c r="B6" i="24"/>
  <c r="C18" i="24"/>
  <c r="D18" i="24"/>
  <c r="F18" i="24"/>
  <c r="G18" i="24"/>
  <c r="H18" i="24"/>
  <c r="I18" i="24"/>
  <c r="J18" i="24"/>
  <c r="K18" i="24"/>
  <c r="L18" i="24"/>
  <c r="M18" i="24"/>
  <c r="N18" i="24"/>
  <c r="O18" i="24"/>
  <c r="P18" i="24"/>
  <c r="Q18" i="24"/>
  <c r="R18" i="24"/>
  <c r="S18" i="24"/>
  <c r="B18" i="24"/>
  <c r="C11" i="24"/>
  <c r="E11" i="24"/>
  <c r="F11" i="24"/>
  <c r="M11" i="24"/>
  <c r="N11" i="24"/>
  <c r="O11" i="24"/>
  <c r="P11" i="24"/>
  <c r="Q11" i="24"/>
  <c r="R11" i="24"/>
  <c r="S11" i="24"/>
  <c r="C9" i="24"/>
  <c r="B9" i="24"/>
  <c r="C8" i="24"/>
  <c r="D8" i="24"/>
  <c r="E8" i="24"/>
  <c r="F8" i="24"/>
  <c r="G8" i="24"/>
  <c r="H8" i="24"/>
  <c r="I8" i="24"/>
  <c r="J8" i="24"/>
  <c r="K8" i="24"/>
  <c r="L8" i="24"/>
  <c r="M8" i="24"/>
  <c r="N8" i="24"/>
  <c r="O8" i="24"/>
  <c r="P8" i="24"/>
  <c r="Q8" i="24"/>
  <c r="R8" i="24"/>
  <c r="S8" i="24"/>
  <c r="B8" i="24"/>
  <c r="C23" i="24" l="1"/>
  <c r="B23" i="24"/>
  <c r="E13" i="17"/>
  <c r="F13" i="17"/>
  <c r="G13" i="17"/>
  <c r="H13" i="17"/>
  <c r="I13" i="17"/>
  <c r="J13" i="17"/>
  <c r="K13" i="17"/>
  <c r="L13" i="17"/>
  <c r="D13" i="17"/>
  <c r="C13" i="17"/>
  <c r="D282" i="23" l="1"/>
  <c r="D281" i="23"/>
  <c r="D280" i="23"/>
  <c r="D279" i="23"/>
  <c r="D278" i="23"/>
  <c r="D276" i="23"/>
  <c r="D275" i="23"/>
  <c r="D274" i="23"/>
  <c r="D273" i="23"/>
  <c r="D272" i="23"/>
  <c r="D271" i="23"/>
  <c r="D270" i="23"/>
  <c r="D269" i="23"/>
  <c r="D268" i="23"/>
  <c r="D267" i="23"/>
  <c r="D266" i="23"/>
  <c r="D265" i="23"/>
  <c r="D263" i="23"/>
  <c r="D262" i="23"/>
  <c r="D261" i="23"/>
  <c r="D260" i="23"/>
  <c r="D259" i="23"/>
  <c r="D258" i="23"/>
  <c r="D257" i="23"/>
  <c r="D256" i="23"/>
  <c r="D255" i="23"/>
  <c r="D254" i="23"/>
  <c r="D253" i="23"/>
  <c r="D252" i="23"/>
  <c r="D251" i="23"/>
  <c r="D250" i="23"/>
  <c r="D249" i="23"/>
  <c r="D248" i="23"/>
  <c r="D247" i="23"/>
  <c r="D246" i="23"/>
  <c r="D245" i="23"/>
  <c r="D244" i="23"/>
  <c r="D243" i="23"/>
  <c r="D242" i="23"/>
  <c r="D241" i="23"/>
  <c r="D240" i="23"/>
  <c r="D239" i="23"/>
  <c r="D238" i="23"/>
  <c r="D237" i="23"/>
  <c r="D236" i="23"/>
  <c r="D235" i="23"/>
  <c r="D234" i="23"/>
  <c r="D233" i="23"/>
  <c r="D232" i="23"/>
  <c r="D231" i="23"/>
  <c r="D230" i="23"/>
  <c r="D229" i="23"/>
  <c r="D228" i="23"/>
  <c r="D227" i="23"/>
  <c r="D226" i="23"/>
  <c r="D225" i="23"/>
  <c r="D224" i="23"/>
  <c r="D223" i="23"/>
  <c r="D222" i="23"/>
  <c r="D221" i="23"/>
  <c r="D220" i="23"/>
  <c r="D219" i="23"/>
  <c r="D218" i="23"/>
  <c r="D217" i="23"/>
  <c r="D216" i="23"/>
  <c r="D215" i="23"/>
  <c r="D214" i="23"/>
  <c r="D213" i="23"/>
  <c r="D212" i="23"/>
  <c r="D211" i="23"/>
  <c r="D210" i="23"/>
  <c r="D209" i="23"/>
  <c r="D208" i="23"/>
  <c r="D207" i="23"/>
  <c r="D206" i="23"/>
  <c r="D205" i="23"/>
  <c r="D204" i="23"/>
  <c r="D202" i="23"/>
  <c r="D201" i="23"/>
  <c r="D200" i="23"/>
  <c r="D199" i="23"/>
  <c r="D198" i="23"/>
  <c r="D197" i="23"/>
  <c r="D196" i="23"/>
  <c r="D195" i="23"/>
  <c r="D194" i="23"/>
  <c r="D193" i="23"/>
  <c r="D192" i="23"/>
  <c r="D191" i="23"/>
  <c r="D190" i="23"/>
  <c r="D189" i="23"/>
  <c r="D188" i="23"/>
  <c r="D187" i="23"/>
  <c r="D186" i="23"/>
  <c r="D185" i="23"/>
  <c r="D184" i="23"/>
  <c r="D183" i="23"/>
  <c r="D182" i="23"/>
  <c r="D181" i="23"/>
  <c r="D180"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8" i="23"/>
  <c r="D117" i="23"/>
  <c r="D116" i="23"/>
  <c r="D115" i="23"/>
  <c r="D114" i="23"/>
  <c r="D113" i="23"/>
  <c r="D112" i="23"/>
  <c r="D111" i="23"/>
  <c r="D110" i="23"/>
  <c r="D109" i="23"/>
  <c r="D108" i="23"/>
  <c r="D107" i="23"/>
  <c r="D106" i="23"/>
  <c r="D104" i="23"/>
  <c r="D103" i="23"/>
  <c r="D102" i="23"/>
  <c r="D101" i="23"/>
  <c r="D98" i="23"/>
  <c r="D97" i="23"/>
  <c r="D96" i="23"/>
  <c r="D95" i="23"/>
  <c r="D94" i="23"/>
  <c r="D93" i="23"/>
  <c r="D92" i="23"/>
  <c r="D91"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7" i="23"/>
  <c r="D56" i="23"/>
  <c r="D55" i="23"/>
  <c r="D54" i="23"/>
  <c r="D53" i="23"/>
  <c r="D52" i="23"/>
  <c r="D51" i="23"/>
  <c r="D50" i="23"/>
  <c r="D49" i="23"/>
  <c r="D48" i="23"/>
  <c r="D47" i="23"/>
  <c r="D46" i="23"/>
  <c r="D44" i="23"/>
  <c r="D43" i="23"/>
  <c r="D42" i="23"/>
  <c r="D40" i="23"/>
  <c r="D39" i="23"/>
  <c r="D38" i="23"/>
  <c r="D37" i="23"/>
  <c r="D36" i="23"/>
  <c r="D35" i="23"/>
  <c r="D34" i="23"/>
  <c r="D33" i="23"/>
  <c r="D32" i="23"/>
  <c r="D31" i="23"/>
  <c r="D30" i="23"/>
  <c r="D29" i="23"/>
  <c r="D28" i="23"/>
  <c r="D27" i="23"/>
  <c r="D26" i="23"/>
  <c r="D25" i="23"/>
  <c r="D24" i="23"/>
  <c r="D23" i="23"/>
  <c r="D22" i="23"/>
  <c r="D21" i="23"/>
  <c r="D20" i="23"/>
  <c r="D18" i="23"/>
  <c r="D17" i="23"/>
  <c r="D15" i="23"/>
  <c r="D14" i="23"/>
  <c r="D13" i="23"/>
  <c r="D12" i="23"/>
  <c r="D10" i="23"/>
  <c r="D9" i="23"/>
  <c r="D7" i="23"/>
  <c r="D6" i="23"/>
  <c r="D5" i="23"/>
  <c r="D282" i="20"/>
  <c r="D281" i="20"/>
  <c r="D280" i="20"/>
  <c r="D279" i="20"/>
  <c r="D278" i="20"/>
  <c r="D277" i="20"/>
  <c r="D276" i="20"/>
  <c r="D275" i="20"/>
  <c r="D274" i="20"/>
  <c r="D273" i="20"/>
  <c r="D272" i="20"/>
  <c r="D271" i="20"/>
  <c r="D270" i="20"/>
  <c r="D269" i="20"/>
  <c r="D268" i="20"/>
  <c r="D267" i="20"/>
  <c r="D266" i="20"/>
  <c r="D265" i="20"/>
  <c r="D263" i="20"/>
  <c r="D262" i="20"/>
  <c r="D261" i="20"/>
  <c r="D260" i="20"/>
  <c r="D259" i="20"/>
  <c r="D258" i="20"/>
  <c r="D257" i="20"/>
  <c r="D256" i="20"/>
  <c r="D255" i="20"/>
  <c r="D254" i="20"/>
  <c r="D253" i="20"/>
  <c r="D252" i="20"/>
  <c r="D251" i="20"/>
  <c r="D250" i="20"/>
  <c r="D249" i="20"/>
  <c r="D248" i="20"/>
  <c r="D247" i="20"/>
  <c r="D246" i="20"/>
  <c r="D245" i="20"/>
  <c r="D244" i="20"/>
  <c r="D243" i="20"/>
  <c r="D242" i="20"/>
  <c r="D241" i="20"/>
  <c r="D240" i="20"/>
  <c r="D239" i="20"/>
  <c r="D238" i="20"/>
  <c r="D237" i="20"/>
  <c r="D236" i="20"/>
  <c r="D235" i="20"/>
  <c r="D234" i="20"/>
  <c r="D233" i="20"/>
  <c r="D232" i="20"/>
  <c r="D231" i="20"/>
  <c r="D230" i="20"/>
  <c r="D229" i="20"/>
  <c r="D228" i="20"/>
  <c r="D227" i="20"/>
  <c r="D226" i="20"/>
  <c r="D225" i="20"/>
  <c r="D224" i="20"/>
  <c r="D223" i="20"/>
  <c r="D222" i="20"/>
  <c r="D221" i="20"/>
  <c r="D220" i="20"/>
  <c r="D219" i="20"/>
  <c r="D218" i="20"/>
  <c r="D217" i="20"/>
  <c r="D216" i="20"/>
  <c r="D215" i="20"/>
  <c r="D214" i="20"/>
  <c r="D213" i="20"/>
  <c r="D212" i="20"/>
  <c r="D211" i="20"/>
  <c r="D210" i="20"/>
  <c r="D209" i="20"/>
  <c r="D208" i="20"/>
  <c r="D207" i="20"/>
  <c r="D206" i="20"/>
  <c r="D205" i="20"/>
  <c r="D204" i="20"/>
  <c r="D203" i="20"/>
  <c r="D202" i="20"/>
  <c r="D201" i="20"/>
  <c r="D200" i="20"/>
  <c r="D199" i="20"/>
  <c r="D198" i="20"/>
  <c r="D197" i="20"/>
  <c r="D196" i="20"/>
  <c r="D195" i="20"/>
  <c r="D194" i="20"/>
  <c r="D193" i="20"/>
  <c r="D192" i="20"/>
  <c r="D191" i="20"/>
  <c r="D190" i="20"/>
  <c r="D189" i="20"/>
  <c r="D188" i="20"/>
  <c r="D187" i="20"/>
  <c r="D186" i="20"/>
  <c r="D185" i="20"/>
  <c r="D184" i="20"/>
  <c r="D183" i="20"/>
  <c r="D182" i="20"/>
  <c r="D181" i="20"/>
  <c r="D180" i="20"/>
  <c r="D179" i="20"/>
  <c r="D177" i="20"/>
  <c r="D176" i="20"/>
  <c r="D175" i="20"/>
  <c r="D174" i="20"/>
  <c r="D173" i="20"/>
  <c r="D172" i="20"/>
  <c r="D171" i="20"/>
  <c r="D170" i="20"/>
  <c r="D169" i="20"/>
  <c r="D168" i="20"/>
  <c r="D167" i="20"/>
  <c r="D166" i="20"/>
  <c r="D165" i="20"/>
  <c r="D164" i="20"/>
  <c r="D163" i="20"/>
  <c r="D162" i="20"/>
  <c r="D161" i="20"/>
  <c r="D160" i="20"/>
  <c r="D159" i="20"/>
  <c r="D158" i="20"/>
  <c r="D157" i="20"/>
  <c r="D156" i="20"/>
  <c r="D155" i="20"/>
  <c r="D154" i="20"/>
  <c r="D152" i="20"/>
  <c r="D151" i="20"/>
  <c r="D150" i="20"/>
  <c r="D149" i="20"/>
  <c r="D148" i="20"/>
  <c r="D147" i="20"/>
  <c r="D146" i="20"/>
  <c r="D145" i="20"/>
  <c r="D144" i="20"/>
  <c r="D143" i="20"/>
  <c r="D142" i="20"/>
  <c r="D141" i="20"/>
  <c r="D140" i="20"/>
  <c r="D139" i="20"/>
  <c r="D138" i="20"/>
  <c r="D137" i="20"/>
  <c r="D136" i="20"/>
  <c r="D135" i="20"/>
  <c r="D134" i="20"/>
  <c r="D133" i="20"/>
  <c r="D132" i="20"/>
  <c r="D131" i="20"/>
  <c r="D130" i="20"/>
  <c r="D129" i="20"/>
  <c r="D128" i="20"/>
  <c r="D127" i="20"/>
  <c r="D126" i="20"/>
  <c r="D125" i="20"/>
  <c r="D124" i="20"/>
  <c r="D123" i="20"/>
  <c r="D122" i="20"/>
  <c r="D121" i="20"/>
  <c r="D120" i="20"/>
  <c r="D119" i="20"/>
  <c r="D118" i="20"/>
  <c r="D117" i="20"/>
  <c r="D116" i="20"/>
  <c r="D115" i="20"/>
  <c r="D114" i="20"/>
  <c r="D113" i="20"/>
  <c r="D112" i="20"/>
  <c r="D111" i="20"/>
  <c r="D110" i="20"/>
  <c r="D109" i="20"/>
  <c r="D108" i="20"/>
  <c r="D107" i="20"/>
  <c r="D106" i="20"/>
  <c r="D105" i="20"/>
  <c r="D104" i="20"/>
  <c r="D103" i="20"/>
  <c r="D102" i="20"/>
  <c r="D101" i="20"/>
  <c r="D100"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7" i="20"/>
  <c r="D56" i="20"/>
  <c r="D55" i="20"/>
  <c r="D54" i="20"/>
  <c r="D53" i="20"/>
  <c r="D52" i="20"/>
  <c r="D51" i="20"/>
  <c r="D50" i="20"/>
  <c r="D49" i="20"/>
  <c r="D48" i="20"/>
  <c r="D47" i="20"/>
  <c r="D46" i="20"/>
  <c r="D45" i="20"/>
  <c r="D44" i="20"/>
  <c r="D43" i="20"/>
  <c r="D42" i="20"/>
  <c r="D40" i="20"/>
  <c r="D39" i="20"/>
  <c r="D38" i="20"/>
  <c r="D37" i="20"/>
  <c r="D36" i="20"/>
  <c r="D35" i="20"/>
  <c r="D33" i="20"/>
  <c r="D32" i="20"/>
  <c r="D31" i="20"/>
  <c r="D30" i="20"/>
  <c r="D29" i="20"/>
  <c r="D28" i="20"/>
  <c r="D27" i="20"/>
  <c r="D26" i="20"/>
  <c r="D25" i="20"/>
  <c r="D24" i="20"/>
  <c r="D23" i="20"/>
  <c r="D22" i="20"/>
  <c r="D21" i="20"/>
  <c r="D20" i="20"/>
  <c r="D19" i="20"/>
  <c r="D18" i="20"/>
  <c r="D17" i="20"/>
  <c r="D15" i="20"/>
  <c r="D14" i="20"/>
  <c r="D13" i="20"/>
  <c r="D12" i="20"/>
  <c r="D10" i="20"/>
  <c r="D9" i="20"/>
  <c r="D7" i="20"/>
  <c r="D6" i="20"/>
  <c r="D5" i="20"/>
  <c r="D282" i="18"/>
  <c r="D281" i="18"/>
  <c r="D280" i="18"/>
  <c r="D279" i="18"/>
  <c r="D278" i="18"/>
  <c r="D277" i="18"/>
  <c r="D276" i="18"/>
  <c r="D275" i="18"/>
  <c r="D274" i="18"/>
  <c r="D273" i="18"/>
  <c r="D272" i="18"/>
  <c r="D271" i="18"/>
  <c r="D270" i="18"/>
  <c r="D269" i="18"/>
  <c r="D268" i="18"/>
  <c r="D267" i="18"/>
  <c r="D266" i="18"/>
  <c r="D265" i="18"/>
  <c r="D263" i="18"/>
  <c r="D262" i="18"/>
  <c r="D261" i="18"/>
  <c r="D260" i="18"/>
  <c r="D259" i="18"/>
  <c r="D258" i="18"/>
  <c r="D257" i="18"/>
  <c r="D256" i="18"/>
  <c r="D255" i="18"/>
  <c r="D254" i="18"/>
  <c r="D253" i="18"/>
  <c r="D252" i="18"/>
  <c r="D251" i="18"/>
  <c r="D250" i="18"/>
  <c r="D249" i="18"/>
  <c r="D248" i="18"/>
  <c r="D247" i="18"/>
  <c r="D246" i="18"/>
  <c r="D245" i="18"/>
  <c r="D244" i="18"/>
  <c r="D243" i="18"/>
  <c r="D242" i="18"/>
  <c r="D241" i="18"/>
  <c r="D240" i="18"/>
  <c r="D239" i="18"/>
  <c r="D238" i="18"/>
  <c r="D237" i="18"/>
  <c r="D236" i="18"/>
  <c r="D235" i="18"/>
  <c r="D234" i="18"/>
  <c r="D233" i="18"/>
  <c r="D232" i="18"/>
  <c r="D231" i="18"/>
  <c r="D230" i="18"/>
  <c r="D229" i="18"/>
  <c r="D228" i="18"/>
  <c r="D227" i="18"/>
  <c r="D226" i="18"/>
  <c r="D225" i="18"/>
  <c r="D224" i="18"/>
  <c r="D223" i="18"/>
  <c r="D222" i="18"/>
  <c r="D221" i="18"/>
  <c r="D220" i="18"/>
  <c r="D219" i="18"/>
  <c r="D218" i="18"/>
  <c r="D217" i="18"/>
  <c r="D216" i="18"/>
  <c r="D215" i="18"/>
  <c r="D214" i="18"/>
  <c r="D213" i="18"/>
  <c r="D212" i="18"/>
  <c r="D211" i="18"/>
  <c r="D210" i="18"/>
  <c r="D209" i="18"/>
  <c r="D208" i="18"/>
  <c r="D207" i="18"/>
  <c r="D206" i="18"/>
  <c r="D205" i="18"/>
  <c r="D204" i="18"/>
  <c r="D203" i="18"/>
  <c r="D202" i="18"/>
  <c r="D201" i="18"/>
  <c r="D200" i="18"/>
  <c r="D199" i="18"/>
  <c r="D198" i="18"/>
  <c r="D197" i="18"/>
  <c r="D196" i="18"/>
  <c r="D195" i="18"/>
  <c r="D194" i="18"/>
  <c r="D193" i="18"/>
  <c r="D192" i="18"/>
  <c r="D191" i="18"/>
  <c r="D190" i="18"/>
  <c r="D189" i="18"/>
  <c r="D188" i="18"/>
  <c r="D187" i="18"/>
  <c r="D186" i="18"/>
  <c r="D185" i="18"/>
  <c r="D184" i="18"/>
  <c r="D183" i="18"/>
  <c r="D182" i="18"/>
  <c r="D181" i="18"/>
  <c r="D180" i="18"/>
  <c r="D179" i="18"/>
  <c r="D177" i="18"/>
  <c r="D176" i="18"/>
  <c r="D175" i="18"/>
  <c r="D174" i="18"/>
  <c r="D173" i="18"/>
  <c r="D172" i="18"/>
  <c r="D171" i="18"/>
  <c r="D170" i="18"/>
  <c r="D169" i="18"/>
  <c r="D168" i="18"/>
  <c r="D167" i="18"/>
  <c r="D166" i="18"/>
  <c r="D165" i="18"/>
  <c r="D164" i="18"/>
  <c r="D163" i="18"/>
  <c r="D162" i="18"/>
  <c r="D161" i="18"/>
  <c r="D160" i="18"/>
  <c r="D159" i="18"/>
  <c r="D158" i="18"/>
  <c r="D157" i="18"/>
  <c r="D156" i="18"/>
  <c r="D155" i="18"/>
  <c r="D154" i="18"/>
  <c r="D152" i="18"/>
  <c r="D151" i="18"/>
  <c r="D150" i="18"/>
  <c r="D149" i="18"/>
  <c r="D148" i="18"/>
  <c r="D147" i="18"/>
  <c r="D146" i="18"/>
  <c r="D145" i="18"/>
  <c r="D144" i="18"/>
  <c r="D143" i="18"/>
  <c r="D142" i="18"/>
  <c r="D141" i="18"/>
  <c r="D140" i="18"/>
  <c r="D139" i="18"/>
  <c r="D138" i="18"/>
  <c r="D137" i="18"/>
  <c r="D136" i="18"/>
  <c r="D135" i="18"/>
  <c r="D134" i="18"/>
  <c r="D133" i="18"/>
  <c r="D132" i="18"/>
  <c r="D131" i="18"/>
  <c r="D130" i="18"/>
  <c r="D129" i="18"/>
  <c r="D128" i="18"/>
  <c r="D127" i="18"/>
  <c r="D126" i="18"/>
  <c r="D125" i="18"/>
  <c r="D124" i="18"/>
  <c r="D123" i="18"/>
  <c r="D122" i="18"/>
  <c r="D121" i="18"/>
  <c r="D120" i="18"/>
  <c r="D119" i="18"/>
  <c r="D118" i="18"/>
  <c r="D117" i="18"/>
  <c r="D116" i="18"/>
  <c r="D115" i="18"/>
  <c r="D114" i="18"/>
  <c r="D113" i="18"/>
  <c r="D112" i="18"/>
  <c r="D111" i="18"/>
  <c r="D110" i="18"/>
  <c r="D109" i="18"/>
  <c r="D108" i="18"/>
  <c r="D107" i="18"/>
  <c r="D106" i="18"/>
  <c r="D105" i="18"/>
  <c r="D104" i="18"/>
  <c r="D103" i="18"/>
  <c r="D102" i="18"/>
  <c r="D101" i="18"/>
  <c r="D100" i="18"/>
  <c r="D98" i="18"/>
  <c r="D97" i="18"/>
  <c r="D96" i="18"/>
  <c r="D95" i="18"/>
  <c r="D94" i="18"/>
  <c r="D93" i="18"/>
  <c r="D92" i="18"/>
  <c r="D91" i="18"/>
  <c r="D90"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7" i="18"/>
  <c r="D56" i="18"/>
  <c r="D55" i="18"/>
  <c r="D54" i="18"/>
  <c r="D53" i="18"/>
  <c r="D52" i="18"/>
  <c r="D51" i="18"/>
  <c r="D50" i="18"/>
  <c r="D49" i="18"/>
  <c r="D48" i="18"/>
  <c r="D47" i="18"/>
  <c r="D46" i="18"/>
  <c r="D45" i="18"/>
  <c r="D44" i="18"/>
  <c r="D43" i="18"/>
  <c r="D42" i="18"/>
  <c r="D40" i="18"/>
  <c r="D39" i="18"/>
  <c r="D38" i="18"/>
  <c r="D37" i="18"/>
  <c r="D36" i="18"/>
  <c r="D35" i="18"/>
  <c r="D33" i="18"/>
  <c r="D32" i="18"/>
  <c r="D31" i="18"/>
  <c r="D30" i="18"/>
  <c r="D29" i="18"/>
  <c r="D28" i="18"/>
  <c r="D27" i="18"/>
  <c r="D26" i="18"/>
  <c r="D25" i="18"/>
  <c r="D24" i="18"/>
  <c r="D23" i="18"/>
  <c r="D22" i="18"/>
  <c r="D21" i="18"/>
  <c r="D20" i="18"/>
  <c r="D19" i="18"/>
  <c r="D18" i="18"/>
  <c r="D17" i="18"/>
  <c r="D15" i="18"/>
  <c r="D14" i="18"/>
  <c r="D13" i="18"/>
  <c r="D12" i="18"/>
  <c r="D10" i="18"/>
  <c r="D9" i="18"/>
  <c r="D7" i="18"/>
  <c r="D6" i="18"/>
  <c r="D5" i="18"/>
  <c r="D282" i="16"/>
  <c r="D281" i="16"/>
  <c r="D280" i="16"/>
  <c r="D279" i="16"/>
  <c r="D278" i="16"/>
  <c r="D277" i="16"/>
  <c r="D276" i="16"/>
  <c r="D275" i="16"/>
  <c r="D274" i="16"/>
  <c r="D273" i="16"/>
  <c r="D272" i="16"/>
  <c r="D271" i="16"/>
  <c r="D270" i="16"/>
  <c r="D269" i="16"/>
  <c r="D268" i="16"/>
  <c r="D267" i="16"/>
  <c r="D266" i="16"/>
  <c r="D265"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2" i="16"/>
  <c r="D151" i="16"/>
  <c r="D150" i="16"/>
  <c r="D149" i="16"/>
  <c r="D148" i="16"/>
  <c r="D147" i="16"/>
  <c r="D146" i="16"/>
  <c r="D145" i="16"/>
  <c r="D144" i="16"/>
  <c r="D143" i="16"/>
  <c r="D142" i="16"/>
  <c r="D141" i="16"/>
  <c r="D140" i="16"/>
  <c r="D139" i="16"/>
  <c r="D138" i="16"/>
  <c r="D137" i="16"/>
  <c r="D136" i="16"/>
  <c r="D135" i="16"/>
  <c r="D134"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110" i="16"/>
  <c r="D109" i="16"/>
  <c r="D108" i="16"/>
  <c r="D107" i="16"/>
  <c r="D106" i="16"/>
  <c r="D105" i="16"/>
  <c r="D104" i="16"/>
  <c r="D103" i="16"/>
  <c r="D102" i="16"/>
  <c r="D101" i="16"/>
  <c r="D100"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67" i="16"/>
  <c r="D66" i="16"/>
  <c r="D65" i="16"/>
  <c r="D64" i="16"/>
  <c r="D63" i="16"/>
  <c r="D62" i="16"/>
  <c r="D61" i="16"/>
  <c r="D60" i="16"/>
  <c r="D59" i="16"/>
  <c r="D57" i="16"/>
  <c r="D56" i="16"/>
  <c r="D55" i="16"/>
  <c r="D54" i="16"/>
  <c r="D53" i="16"/>
  <c r="D52" i="16"/>
  <c r="D51" i="16"/>
  <c r="D50" i="16"/>
  <c r="D49" i="16"/>
  <c r="D48" i="16"/>
  <c r="D47" i="16"/>
  <c r="D46" i="16"/>
  <c r="D45" i="16"/>
  <c r="D44" i="16"/>
  <c r="D43" i="16"/>
  <c r="D42" i="16"/>
  <c r="D40" i="16"/>
  <c r="D39" i="16"/>
  <c r="D38" i="16"/>
  <c r="D37" i="16"/>
  <c r="D36" i="16"/>
  <c r="D35" i="16"/>
  <c r="D33" i="16"/>
  <c r="D32" i="16"/>
  <c r="D31" i="16"/>
  <c r="D30" i="16"/>
  <c r="D29" i="16"/>
  <c r="D28" i="16"/>
  <c r="D27" i="16"/>
  <c r="D26" i="16"/>
  <c r="D25" i="16"/>
  <c r="D24" i="16"/>
  <c r="D23" i="16"/>
  <c r="D22" i="16"/>
  <c r="D21" i="16"/>
  <c r="D20" i="16"/>
  <c r="D19" i="16"/>
  <c r="D18" i="16"/>
  <c r="D17" i="16"/>
  <c r="D15" i="16"/>
  <c r="D14" i="16"/>
  <c r="D13" i="16"/>
  <c r="D12" i="16"/>
  <c r="D10" i="16"/>
  <c r="D9" i="16"/>
  <c r="D7" i="16"/>
  <c r="D6" i="16"/>
  <c r="D5" i="16"/>
  <c r="D282" i="14"/>
  <c r="D281" i="14"/>
  <c r="D280" i="14"/>
  <c r="D279" i="14"/>
  <c r="D278" i="14"/>
  <c r="D277" i="14"/>
  <c r="D276" i="14"/>
  <c r="D275" i="14"/>
  <c r="D274" i="14"/>
  <c r="D273" i="14"/>
  <c r="D272" i="14"/>
  <c r="D271" i="14"/>
  <c r="D270" i="14"/>
  <c r="D269" i="14"/>
  <c r="D268" i="14"/>
  <c r="D267" i="14"/>
  <c r="D266" i="14"/>
  <c r="D265"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7" i="14"/>
  <c r="D56" i="14"/>
  <c r="D55" i="14"/>
  <c r="D54" i="14"/>
  <c r="D53" i="14"/>
  <c r="D52" i="14"/>
  <c r="D51" i="14"/>
  <c r="D50" i="14"/>
  <c r="D49" i="14"/>
  <c r="D48" i="14"/>
  <c r="D47" i="14"/>
  <c r="D46" i="14"/>
  <c r="D45" i="14"/>
  <c r="D44" i="14"/>
  <c r="D43" i="14"/>
  <c r="D42" i="14"/>
  <c r="D40" i="14"/>
  <c r="D39" i="14"/>
  <c r="D38" i="14"/>
  <c r="D37" i="14"/>
  <c r="D36" i="14"/>
  <c r="D35" i="14"/>
  <c r="D33" i="14"/>
  <c r="D32" i="14"/>
  <c r="D31" i="14"/>
  <c r="D30" i="14"/>
  <c r="D29" i="14"/>
  <c r="D28" i="14"/>
  <c r="D27" i="14"/>
  <c r="D26" i="14"/>
  <c r="D25" i="14"/>
  <c r="D24" i="14"/>
  <c r="D23" i="14"/>
  <c r="D22" i="14"/>
  <c r="D21" i="14"/>
  <c r="D20" i="14"/>
  <c r="D19" i="14"/>
  <c r="D18" i="14"/>
  <c r="D17" i="14"/>
  <c r="D15" i="14"/>
  <c r="D14" i="14"/>
  <c r="D13" i="14"/>
  <c r="D12" i="14"/>
  <c r="D10" i="14"/>
  <c r="D9" i="14"/>
  <c r="D7" i="14"/>
  <c r="D6" i="14"/>
  <c r="D5" i="14"/>
  <c r="I4" i="26" l="1"/>
  <c r="L249" i="10" s="1"/>
  <c r="Q283" i="2"/>
  <c r="R283" i="2"/>
  <c r="E261" i="2"/>
  <c r="S261" i="2" s="1"/>
  <c r="E242" i="2"/>
  <c r="S242" i="2" s="1"/>
  <c r="E203" i="2"/>
  <c r="S203" i="2" s="1"/>
  <c r="E166" i="2"/>
  <c r="S166" i="2" s="1"/>
  <c r="E119" i="2"/>
  <c r="S119" i="2" s="1"/>
  <c r="E99" i="2"/>
  <c r="S99" i="2" s="1"/>
  <c r="E96" i="2"/>
  <c r="S96" i="2" s="1"/>
  <c r="E83" i="2"/>
  <c r="S83" i="2" s="1"/>
  <c r="E72" i="2"/>
  <c r="S72" i="2" s="1"/>
  <c r="E60" i="2"/>
  <c r="S60" i="2" s="1"/>
  <c r="E38" i="2"/>
  <c r="S38" i="2" s="1"/>
  <c r="E13" i="2"/>
  <c r="S13" i="2" s="1"/>
  <c r="X283" i="1"/>
  <c r="C14" i="8"/>
  <c r="E283" i="1" s="1"/>
  <c r="F13" i="8"/>
  <c r="Z261" i="1"/>
  <c r="Z242" i="1"/>
  <c r="Z203" i="1"/>
  <c r="Z166" i="1"/>
  <c r="Z119" i="1"/>
  <c r="Z99" i="1"/>
  <c r="Z96" i="1"/>
  <c r="Z83" i="1"/>
  <c r="Z72" i="1"/>
  <c r="Z60" i="1"/>
  <c r="Z38" i="1"/>
  <c r="X261" i="1"/>
  <c r="X242" i="1"/>
  <c r="X203" i="1"/>
  <c r="X166" i="1"/>
  <c r="X119" i="1"/>
  <c r="X99" i="1"/>
  <c r="X96" i="1"/>
  <c r="X83" i="1"/>
  <c r="X72" i="1"/>
  <c r="X60" i="1"/>
  <c r="X38" i="1"/>
  <c r="Z13" i="1"/>
  <c r="X13" i="1"/>
  <c r="X11" i="1"/>
  <c r="Z41" i="1"/>
  <c r="Y283" i="1"/>
  <c r="R271" i="2"/>
  <c r="X5" i="1"/>
  <c r="X6" i="1"/>
  <c r="X7" i="1"/>
  <c r="X9" i="1"/>
  <c r="X10" i="1"/>
  <c r="X12" i="1"/>
  <c r="X14" i="1"/>
  <c r="X15" i="1"/>
  <c r="X17" i="1"/>
  <c r="X18" i="1"/>
  <c r="X20" i="1"/>
  <c r="X21" i="1"/>
  <c r="X22" i="1"/>
  <c r="X23" i="1"/>
  <c r="X24" i="1"/>
  <c r="X25" i="1"/>
  <c r="X26" i="1"/>
  <c r="X27" i="1"/>
  <c r="X28" i="1"/>
  <c r="X29" i="1"/>
  <c r="X30" i="1"/>
  <c r="X31" i="1"/>
  <c r="X32" i="1"/>
  <c r="X33" i="1"/>
  <c r="X35" i="1"/>
  <c r="X36" i="1"/>
  <c r="X37" i="1"/>
  <c r="X39" i="1"/>
  <c r="X40" i="1"/>
  <c r="X42" i="1"/>
  <c r="X43" i="1"/>
  <c r="X44" i="1"/>
  <c r="X45" i="1"/>
  <c r="X46" i="1"/>
  <c r="X47" i="1"/>
  <c r="X48" i="1"/>
  <c r="X49" i="1"/>
  <c r="X50" i="1"/>
  <c r="X51" i="1"/>
  <c r="X52" i="1"/>
  <c r="X53" i="1"/>
  <c r="X54" i="1"/>
  <c r="X55" i="1"/>
  <c r="X56" i="1"/>
  <c r="X57" i="1"/>
  <c r="X58" i="1"/>
  <c r="X59" i="1"/>
  <c r="X61" i="1"/>
  <c r="X62" i="1"/>
  <c r="X63" i="1"/>
  <c r="X64" i="1"/>
  <c r="X65" i="1"/>
  <c r="X66" i="1"/>
  <c r="X67" i="1"/>
  <c r="X68" i="1"/>
  <c r="X69" i="1"/>
  <c r="X70" i="1"/>
  <c r="X71" i="1"/>
  <c r="X73" i="1"/>
  <c r="X74" i="1"/>
  <c r="X75" i="1"/>
  <c r="X76" i="1"/>
  <c r="X77" i="1"/>
  <c r="X78" i="1"/>
  <c r="X79" i="1"/>
  <c r="X80" i="1"/>
  <c r="X81" i="1"/>
  <c r="X82" i="1"/>
  <c r="X84" i="1"/>
  <c r="X85" i="1"/>
  <c r="X86" i="1"/>
  <c r="X87" i="1"/>
  <c r="X88" i="1"/>
  <c r="X89" i="1"/>
  <c r="X90" i="1"/>
  <c r="X91" i="1"/>
  <c r="X92" i="1"/>
  <c r="X93" i="1"/>
  <c r="X94" i="1"/>
  <c r="X95" i="1"/>
  <c r="X98" i="1"/>
  <c r="X100" i="1"/>
  <c r="X101" i="1"/>
  <c r="X102" i="1"/>
  <c r="X103" i="1"/>
  <c r="X104" i="1"/>
  <c r="X105" i="1"/>
  <c r="X106" i="1"/>
  <c r="X107" i="1"/>
  <c r="X108" i="1"/>
  <c r="X109" i="1"/>
  <c r="X110" i="1"/>
  <c r="X111" i="1"/>
  <c r="X112" i="1"/>
  <c r="X113" i="1"/>
  <c r="X114" i="1"/>
  <c r="X115" i="1"/>
  <c r="X116" i="1"/>
  <c r="X117" i="1"/>
  <c r="X118"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4" i="1"/>
  <c r="X155" i="1"/>
  <c r="X156" i="1"/>
  <c r="X157" i="1"/>
  <c r="X158" i="1"/>
  <c r="X159" i="1"/>
  <c r="X160" i="1"/>
  <c r="X161" i="1"/>
  <c r="X162" i="1"/>
  <c r="X163" i="1"/>
  <c r="X164" i="1"/>
  <c r="X165" i="1"/>
  <c r="X167" i="1"/>
  <c r="X168" i="1"/>
  <c r="X169" i="1"/>
  <c r="X170" i="1"/>
  <c r="X171" i="1"/>
  <c r="X172" i="1"/>
  <c r="X173" i="1"/>
  <c r="X174" i="1"/>
  <c r="X175" i="1"/>
  <c r="X176" i="1"/>
  <c r="X177" i="1"/>
  <c r="X196" i="1"/>
  <c r="X197" i="1"/>
  <c r="X198" i="1"/>
  <c r="X199" i="1"/>
  <c r="X200" i="1"/>
  <c r="X201" i="1"/>
  <c r="X202"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3" i="1"/>
  <c r="X244" i="1"/>
  <c r="X245" i="1"/>
  <c r="X246" i="1"/>
  <c r="X247" i="1"/>
  <c r="X248" i="1"/>
  <c r="X249" i="1"/>
  <c r="X250" i="1"/>
  <c r="X251" i="1"/>
  <c r="X252" i="1"/>
  <c r="X253" i="1"/>
  <c r="X254" i="1"/>
  <c r="X255" i="1"/>
  <c r="X256" i="1"/>
  <c r="X257" i="1"/>
  <c r="X258" i="1"/>
  <c r="X259" i="1"/>
  <c r="X260" i="1"/>
  <c r="X262" i="1"/>
  <c r="X263" i="1"/>
  <c r="X264" i="1"/>
  <c r="X265" i="1"/>
  <c r="X266" i="1"/>
  <c r="X267" i="1"/>
  <c r="X268" i="1"/>
  <c r="X269" i="1"/>
  <c r="X270" i="1"/>
  <c r="X271" i="1"/>
  <c r="X272" i="1"/>
  <c r="X273" i="1"/>
  <c r="X274" i="1"/>
  <c r="X275" i="1"/>
  <c r="X276" i="1"/>
  <c r="X277" i="1"/>
  <c r="X278" i="1"/>
  <c r="X279" i="1"/>
  <c r="X280" i="1"/>
  <c r="X281" i="1"/>
  <c r="X282" i="1"/>
  <c r="X4" i="1"/>
  <c r="F4" i="19"/>
  <c r="F5" i="19"/>
  <c r="D9" i="24" l="1"/>
  <c r="S19" i="24"/>
  <c r="U19" i="24"/>
  <c r="U23" i="24" s="1"/>
  <c r="T19" i="24"/>
  <c r="T23" i="24" s="1"/>
  <c r="F7" i="19"/>
  <c r="R249" i="10" l="1"/>
  <c r="O22" i="11"/>
  <c r="X19" i="8"/>
  <c r="Q20" i="11" l="1"/>
  <c r="Q5" i="2"/>
  <c r="Q15" i="2"/>
  <c r="Q25" i="2"/>
  <c r="Q33" i="2"/>
  <c r="Q43" i="2"/>
  <c r="Q51" i="2"/>
  <c r="Q59" i="2"/>
  <c r="Q67" i="2"/>
  <c r="Q75" i="2"/>
  <c r="Q83" i="2"/>
  <c r="Q91" i="2"/>
  <c r="Q100" i="2"/>
  <c r="Q108" i="2"/>
  <c r="Q116" i="2"/>
  <c r="Q124" i="2"/>
  <c r="Q132" i="2"/>
  <c r="Q140" i="2"/>
  <c r="Q148" i="2"/>
  <c r="Q157" i="2"/>
  <c r="Q165" i="2"/>
  <c r="Q173" i="2"/>
  <c r="Q182" i="2"/>
  <c r="Q190" i="2"/>
  <c r="Q199" i="2"/>
  <c r="Q207" i="2"/>
  <c r="Q215" i="2"/>
  <c r="Q223" i="2"/>
  <c r="Q231" i="2"/>
  <c r="Q239" i="2"/>
  <c r="Q247" i="2"/>
  <c r="Q255" i="2"/>
  <c r="Q263" i="2"/>
  <c r="Q271" i="2"/>
  <c r="Q279" i="2"/>
  <c r="Q10" i="2"/>
  <c r="Q47" i="2"/>
  <c r="Q71" i="2"/>
  <c r="Q95" i="2"/>
  <c r="Q120" i="2"/>
  <c r="Q144" i="2"/>
  <c r="Q169" i="2"/>
  <c r="Q194" i="2"/>
  <c r="Q227" i="2"/>
  <c r="Q259" i="2"/>
  <c r="Q89" i="2"/>
  <c r="Q171" i="2"/>
  <c r="Q229" i="2"/>
  <c r="Q277" i="2"/>
  <c r="Q74" i="2"/>
  <c r="Q115" i="2"/>
  <c r="Q172" i="2"/>
  <c r="Q246" i="2"/>
  <c r="Q13" i="2"/>
  <c r="Q38" i="2"/>
  <c r="Q6" i="2"/>
  <c r="Q17" i="2"/>
  <c r="Q26" i="2"/>
  <c r="Q34" i="2"/>
  <c r="Q44" i="2"/>
  <c r="Q52" i="2"/>
  <c r="Q60" i="2"/>
  <c r="Q68" i="2"/>
  <c r="Q76" i="2"/>
  <c r="Q84" i="2"/>
  <c r="Q92" i="2"/>
  <c r="Q101" i="2"/>
  <c r="Q109" i="2"/>
  <c r="Q117" i="2"/>
  <c r="Q125" i="2"/>
  <c r="Q133" i="2"/>
  <c r="Q141" i="2"/>
  <c r="Q149" i="2"/>
  <c r="Q158" i="2"/>
  <c r="Q166" i="2"/>
  <c r="Q174" i="2"/>
  <c r="Q183" i="2"/>
  <c r="Q191" i="2"/>
  <c r="Q200" i="2"/>
  <c r="Q208" i="2"/>
  <c r="Q216" i="2"/>
  <c r="Q224" i="2"/>
  <c r="Q232" i="2"/>
  <c r="Q240" i="2"/>
  <c r="Q248" i="2"/>
  <c r="Q256" i="2"/>
  <c r="Q264" i="2"/>
  <c r="Q272" i="2"/>
  <c r="Q280" i="2"/>
  <c r="Q29" i="2"/>
  <c r="Q63" i="2"/>
  <c r="Q87" i="2"/>
  <c r="Q128" i="2"/>
  <c r="Q177" i="2"/>
  <c r="Q211" i="2"/>
  <c r="Q243" i="2"/>
  <c r="Q4" i="2"/>
  <c r="Q106" i="2"/>
  <c r="Q205" i="2"/>
  <c r="Q261" i="2"/>
  <c r="Q24" i="2"/>
  <c r="Q66" i="2"/>
  <c r="Q107" i="2"/>
  <c r="Q164" i="2"/>
  <c r="Q214" i="2"/>
  <c r="Q278" i="2"/>
  <c r="Q7" i="2"/>
  <c r="Q18" i="2"/>
  <c r="Q27" i="2"/>
  <c r="Q35" i="2"/>
  <c r="Q45" i="2"/>
  <c r="Q53" i="2"/>
  <c r="Q61" i="2"/>
  <c r="Q69" i="2"/>
  <c r="Q77" i="2"/>
  <c r="Q85" i="2"/>
  <c r="Q93" i="2"/>
  <c r="Q102" i="2"/>
  <c r="Q110" i="2"/>
  <c r="Q118" i="2"/>
  <c r="Q126" i="2"/>
  <c r="Q134" i="2"/>
  <c r="Q142" i="2"/>
  <c r="Q150" i="2"/>
  <c r="Q159" i="2"/>
  <c r="Q167" i="2"/>
  <c r="Q175" i="2"/>
  <c r="Q184" i="2"/>
  <c r="Q192" i="2"/>
  <c r="Q201" i="2"/>
  <c r="Q209" i="2"/>
  <c r="Q217" i="2"/>
  <c r="Q225" i="2"/>
  <c r="Q233" i="2"/>
  <c r="Q241" i="2"/>
  <c r="Q249" i="2"/>
  <c r="Q257" i="2"/>
  <c r="Q265" i="2"/>
  <c r="Q273" i="2"/>
  <c r="Q281" i="2"/>
  <c r="Q21" i="2"/>
  <c r="Q55" i="2"/>
  <c r="Q104" i="2"/>
  <c r="Q136" i="2"/>
  <c r="Q161" i="2"/>
  <c r="Q203" i="2"/>
  <c r="Q235" i="2"/>
  <c r="Q267" i="2"/>
  <c r="Q73" i="2"/>
  <c r="Q130" i="2"/>
  <c r="Q155" i="2"/>
  <c r="Q197" i="2"/>
  <c r="Q221" i="2"/>
  <c r="Q253" i="2"/>
  <c r="Q32" i="2"/>
  <c r="Q58" i="2"/>
  <c r="Q90" i="2"/>
  <c r="Q123" i="2"/>
  <c r="Q147" i="2"/>
  <c r="Q181" i="2"/>
  <c r="Q206" i="2"/>
  <c r="Q230" i="2"/>
  <c r="Q254" i="2"/>
  <c r="Q9" i="2"/>
  <c r="Q20" i="2"/>
  <c r="Q28" i="2"/>
  <c r="Q36" i="2"/>
  <c r="Q46" i="2"/>
  <c r="Q54" i="2"/>
  <c r="Q62" i="2"/>
  <c r="Q70" i="2"/>
  <c r="Q78" i="2"/>
  <c r="Q86" i="2"/>
  <c r="Q94" i="2"/>
  <c r="Q103" i="2"/>
  <c r="Q111" i="2"/>
  <c r="Q119" i="2"/>
  <c r="Q127" i="2"/>
  <c r="Q135" i="2"/>
  <c r="Q143" i="2"/>
  <c r="Q151" i="2"/>
  <c r="Q160" i="2"/>
  <c r="Q168" i="2"/>
  <c r="Q176" i="2"/>
  <c r="Q185" i="2"/>
  <c r="Q193" i="2"/>
  <c r="Q202" i="2"/>
  <c r="Q210" i="2"/>
  <c r="Q218" i="2"/>
  <c r="Q226" i="2"/>
  <c r="Q234" i="2"/>
  <c r="Q242" i="2"/>
  <c r="Q250" i="2"/>
  <c r="Q258" i="2"/>
  <c r="Q266" i="2"/>
  <c r="Q274" i="2"/>
  <c r="Q282" i="2"/>
  <c r="Q37" i="2"/>
  <c r="Q79" i="2"/>
  <c r="Q112" i="2"/>
  <c r="Q152" i="2"/>
  <c r="Q186" i="2"/>
  <c r="Q219" i="2"/>
  <c r="Q251" i="2"/>
  <c r="Q275" i="2"/>
  <c r="Q98" i="2"/>
  <c r="Q180" i="2"/>
  <c r="Q237" i="2"/>
  <c r="Q42" i="2"/>
  <c r="Q82" i="2"/>
  <c r="Q139" i="2"/>
  <c r="Q189" i="2"/>
  <c r="Q222" i="2"/>
  <c r="Q270" i="2"/>
  <c r="Q11" i="2"/>
  <c r="Q22" i="2"/>
  <c r="Q30" i="2"/>
  <c r="Q39" i="2"/>
  <c r="Q48" i="2"/>
  <c r="Q56" i="2"/>
  <c r="Q64" i="2"/>
  <c r="Q72" i="2"/>
  <c r="Q80" i="2"/>
  <c r="Q88" i="2"/>
  <c r="Q96" i="2"/>
  <c r="Q105" i="2"/>
  <c r="Q113" i="2"/>
  <c r="Q121" i="2"/>
  <c r="Q129" i="2"/>
  <c r="Q137" i="2"/>
  <c r="Q145" i="2"/>
  <c r="Q154" i="2"/>
  <c r="Q162" i="2"/>
  <c r="Q170" i="2"/>
  <c r="Q179" i="2"/>
  <c r="Q187" i="2"/>
  <c r="Q196" i="2"/>
  <c r="Q204" i="2"/>
  <c r="Q212" i="2"/>
  <c r="Q220" i="2"/>
  <c r="Q228" i="2"/>
  <c r="Q236" i="2"/>
  <c r="Q244" i="2"/>
  <c r="Q252" i="2"/>
  <c r="Q260" i="2"/>
  <c r="Q268" i="2"/>
  <c r="Q276" i="2"/>
  <c r="Q12" i="2"/>
  <c r="Q23" i="2"/>
  <c r="Q31" i="2"/>
  <c r="Q40" i="2"/>
  <c r="Q49" i="2"/>
  <c r="Q57" i="2"/>
  <c r="Q65" i="2"/>
  <c r="Q81" i="2"/>
  <c r="Q114" i="2"/>
  <c r="Q122" i="2"/>
  <c r="Q138" i="2"/>
  <c r="Q146" i="2"/>
  <c r="Q163" i="2"/>
  <c r="Q188" i="2"/>
  <c r="Q213" i="2"/>
  <c r="Q245" i="2"/>
  <c r="Q269" i="2"/>
  <c r="Q14" i="2"/>
  <c r="Q50" i="2"/>
  <c r="Q99" i="2"/>
  <c r="Q131" i="2"/>
  <c r="Q156" i="2"/>
  <c r="Q198" i="2"/>
  <c r="Q238" i="2"/>
  <c r="Q262" i="2"/>
  <c r="L9" i="22" l="1"/>
  <c r="M9" i="22"/>
  <c r="N9" i="22"/>
  <c r="O9" i="22"/>
  <c r="P9" i="22"/>
  <c r="K9" i="22"/>
  <c r="J9" i="22"/>
  <c r="I9" i="22"/>
  <c r="H9" i="22"/>
  <c r="G9" i="22"/>
  <c r="F9" i="22"/>
  <c r="F12" i="22" s="1"/>
  <c r="F17" i="22" s="1"/>
  <c r="E9" i="22"/>
  <c r="D9" i="22"/>
  <c r="C9" i="22"/>
  <c r="C12" i="22" s="1"/>
  <c r="R8" i="22"/>
  <c r="L7" i="17"/>
  <c r="L9" i="17" s="1"/>
  <c r="K7" i="17"/>
  <c r="K9" i="17" s="1"/>
  <c r="J7" i="17"/>
  <c r="J9" i="17" s="1"/>
  <c r="I7" i="17"/>
  <c r="I9" i="17" s="1"/>
  <c r="H7" i="17"/>
  <c r="H9" i="17" s="1"/>
  <c r="G7" i="17"/>
  <c r="G9" i="17" s="1"/>
  <c r="G15" i="17" s="1"/>
  <c r="F7" i="17"/>
  <c r="F9" i="17" s="1"/>
  <c r="F15" i="17" s="1"/>
  <c r="E7" i="17"/>
  <c r="E9" i="17" s="1"/>
  <c r="E11" i="17" s="1"/>
  <c r="G283" i="18" s="1"/>
  <c r="D7" i="17"/>
  <c r="D9" i="17" s="1"/>
  <c r="C7" i="17"/>
  <c r="C9" i="17" s="1"/>
  <c r="N6" i="17"/>
  <c r="N5" i="17"/>
  <c r="N4" i="17"/>
  <c r="I7" i="15"/>
  <c r="I10" i="15" s="1"/>
  <c r="H7" i="15"/>
  <c r="H10" i="15" s="1"/>
  <c r="G7" i="15"/>
  <c r="G10" i="15" s="1"/>
  <c r="F7" i="15"/>
  <c r="F10" i="15" s="1"/>
  <c r="E7" i="15"/>
  <c r="E10" i="15" s="1"/>
  <c r="D7" i="15"/>
  <c r="D10" i="15" s="1"/>
  <c r="D15" i="15" s="1"/>
  <c r="C7" i="15"/>
  <c r="C10" i="15" s="1"/>
  <c r="C13" i="15" s="1"/>
  <c r="K6" i="15"/>
  <c r="K5" i="15"/>
  <c r="K4" i="15"/>
  <c r="Q6" i="13"/>
  <c r="Q5" i="13"/>
  <c r="Q4" i="13"/>
  <c r="O7" i="13"/>
  <c r="O10" i="13" s="1"/>
  <c r="O21" i="13" s="1"/>
  <c r="M7" i="13"/>
  <c r="M10" i="13" s="1"/>
  <c r="M15" i="13" s="1"/>
  <c r="L7" i="13"/>
  <c r="L10" i="13" s="1"/>
  <c r="L15" i="13" s="1"/>
  <c r="K7" i="13"/>
  <c r="K10" i="13" s="1"/>
  <c r="K21" i="13" s="1"/>
  <c r="K24" i="13" s="1"/>
  <c r="J7" i="13"/>
  <c r="J10" i="13" s="1"/>
  <c r="I7" i="13"/>
  <c r="I10" i="13" s="1"/>
  <c r="H7" i="13"/>
  <c r="H10" i="13" s="1"/>
  <c r="G7" i="13"/>
  <c r="G10" i="13" s="1"/>
  <c r="F7" i="13"/>
  <c r="F10" i="13" s="1"/>
  <c r="F15" i="13" s="1"/>
  <c r="E7" i="13"/>
  <c r="E10" i="13" s="1"/>
  <c r="E15" i="13" s="1"/>
  <c r="D7" i="13"/>
  <c r="D10" i="13" s="1"/>
  <c r="D15" i="13" s="1"/>
  <c r="C7" i="13"/>
  <c r="C10" i="13" s="1"/>
  <c r="C13" i="13" s="1"/>
  <c r="Y271" i="1"/>
  <c r="Q5" i="11"/>
  <c r="N7" i="11"/>
  <c r="N10" i="11" s="1"/>
  <c r="M7" i="11"/>
  <c r="M10" i="11" s="1"/>
  <c r="L7" i="11"/>
  <c r="L10" i="11" s="1"/>
  <c r="K7" i="11"/>
  <c r="K10" i="11" s="1"/>
  <c r="J7" i="11"/>
  <c r="J10" i="11" s="1"/>
  <c r="I7" i="11"/>
  <c r="I10" i="11" s="1"/>
  <c r="G7" i="11"/>
  <c r="G10" i="11" s="1"/>
  <c r="G17" i="11" s="1"/>
  <c r="G18" i="11" s="1"/>
  <c r="F7" i="11"/>
  <c r="F10" i="11" s="1"/>
  <c r="F17" i="11" s="1"/>
  <c r="F18" i="11" s="1"/>
  <c r="E7" i="11"/>
  <c r="E10" i="11" s="1"/>
  <c r="D7" i="11"/>
  <c r="D10" i="11" s="1"/>
  <c r="C7" i="11"/>
  <c r="C10" i="11" s="1"/>
  <c r="Q6" i="11"/>
  <c r="Q4" i="11"/>
  <c r="P12" i="22" l="1"/>
  <c r="P17" i="22" s="1"/>
  <c r="P19" i="22"/>
  <c r="E12" i="22"/>
  <c r="E17" i="22" s="1"/>
  <c r="G12" i="22"/>
  <c r="G17" i="22" s="1"/>
  <c r="H12" i="22"/>
  <c r="I12" i="22"/>
  <c r="K12" i="22"/>
  <c r="K17" i="22" s="1"/>
  <c r="O12" i="22"/>
  <c r="L12" i="22"/>
  <c r="L17" i="22" s="1"/>
  <c r="J12" i="22"/>
  <c r="N12" i="22"/>
  <c r="N17" i="22" s="1"/>
  <c r="M12" i="22"/>
  <c r="F13" i="22"/>
  <c r="F15" i="22" s="1"/>
  <c r="C19" i="15"/>
  <c r="C15" i="15"/>
  <c r="D17" i="15"/>
  <c r="F17" i="13"/>
  <c r="H283" i="14" s="1"/>
  <c r="L17" i="13"/>
  <c r="N283" i="14" s="1"/>
  <c r="M17" i="13"/>
  <c r="O283" i="14" s="1"/>
  <c r="D17" i="13"/>
  <c r="Q7" i="13"/>
  <c r="E17" i="13"/>
  <c r="G283" i="14" s="1"/>
  <c r="O24" i="13"/>
  <c r="O22" i="13"/>
  <c r="O23" i="13"/>
  <c r="O15" i="13"/>
  <c r="R9" i="22"/>
  <c r="N7" i="17"/>
  <c r="G11" i="17"/>
  <c r="I283" i="18" s="1"/>
  <c r="I11" i="17"/>
  <c r="K283" i="18" s="1"/>
  <c r="I15" i="17"/>
  <c r="F17" i="17"/>
  <c r="F16" i="17"/>
  <c r="F18" i="17"/>
  <c r="H15" i="17"/>
  <c r="H11" i="17"/>
  <c r="J283" i="18" s="1"/>
  <c r="J11" i="17"/>
  <c r="L283" i="18" s="1"/>
  <c r="J15" i="17"/>
  <c r="G16" i="17"/>
  <c r="G17" i="17"/>
  <c r="G18" i="17"/>
  <c r="C11" i="17"/>
  <c r="N9" i="17"/>
  <c r="K11" i="17"/>
  <c r="M283" i="18" s="1"/>
  <c r="K15" i="17"/>
  <c r="D11" i="17"/>
  <c r="D15" i="17"/>
  <c r="L11" i="17"/>
  <c r="N283" i="18" s="1"/>
  <c r="L15" i="17"/>
  <c r="F11" i="17"/>
  <c r="H283" i="18" s="1"/>
  <c r="E15" i="17"/>
  <c r="K10" i="15"/>
  <c r="K7" i="15"/>
  <c r="E15" i="15"/>
  <c r="E19" i="15"/>
  <c r="F19" i="15"/>
  <c r="F15" i="15"/>
  <c r="G19" i="15"/>
  <c r="G15" i="15"/>
  <c r="H19" i="15"/>
  <c r="H15" i="15"/>
  <c r="I15" i="15"/>
  <c r="I19" i="15"/>
  <c r="D19" i="15"/>
  <c r="N7" i="13"/>
  <c r="N10" i="13" s="1"/>
  <c r="N15" i="13" s="1"/>
  <c r="C22" i="13"/>
  <c r="G15" i="13"/>
  <c r="G21" i="13"/>
  <c r="G24" i="13" s="1"/>
  <c r="I21" i="13"/>
  <c r="I24" i="13" s="1"/>
  <c r="I15" i="13"/>
  <c r="J21" i="13"/>
  <c r="J24" i="13" s="1"/>
  <c r="J15" i="13"/>
  <c r="K23" i="13"/>
  <c r="K22" i="13"/>
  <c r="H21" i="13"/>
  <c r="H24" i="13" s="1"/>
  <c r="H15" i="13"/>
  <c r="D21" i="13"/>
  <c r="D24" i="13" s="1"/>
  <c r="L21" i="13"/>
  <c r="L24" i="13" s="1"/>
  <c r="E21" i="13"/>
  <c r="E24" i="13" s="1"/>
  <c r="M21" i="13"/>
  <c r="M24" i="13" s="1"/>
  <c r="F21" i="13"/>
  <c r="F24" i="13" s="1"/>
  <c r="K15" i="13"/>
  <c r="Q7" i="11"/>
  <c r="Q10" i="11" s="1"/>
  <c r="Q17" i="11" s="1"/>
  <c r="D17" i="11"/>
  <c r="D12" i="11"/>
  <c r="M17" i="11"/>
  <c r="M12" i="11"/>
  <c r="M15" i="11" s="1"/>
  <c r="O283" i="2" s="1"/>
  <c r="K11" i="24" s="1"/>
  <c r="L12" i="11"/>
  <c r="L15" i="11" s="1"/>
  <c r="N283" i="2" s="1"/>
  <c r="J11" i="24" s="1"/>
  <c r="L17" i="11"/>
  <c r="E17" i="11"/>
  <c r="E18" i="11" s="1"/>
  <c r="E12" i="11"/>
  <c r="N17" i="11"/>
  <c r="N12" i="11"/>
  <c r="N15" i="11" s="1"/>
  <c r="P283" i="2" s="1"/>
  <c r="L11" i="24" s="1"/>
  <c r="F19" i="11"/>
  <c r="G19" i="11"/>
  <c r="C12" i="11"/>
  <c r="C15" i="11" s="1"/>
  <c r="C17" i="11"/>
  <c r="I12" i="11"/>
  <c r="I15" i="11" s="1"/>
  <c r="K283" i="2" s="1"/>
  <c r="G11" i="24" s="1"/>
  <c r="I17" i="11"/>
  <c r="I18" i="11" s="1"/>
  <c r="K12" i="11"/>
  <c r="K15" i="11" s="1"/>
  <c r="M283" i="2" s="1"/>
  <c r="I11" i="24" s="1"/>
  <c r="K17" i="11"/>
  <c r="J12" i="11"/>
  <c r="J15" i="11" s="1"/>
  <c r="L283" i="2" s="1"/>
  <c r="H11" i="24" s="1"/>
  <c r="J17" i="11"/>
  <c r="F12" i="11"/>
  <c r="G12" i="11"/>
  <c r="P13" i="22" l="1"/>
  <c r="P15" i="22" s="1"/>
  <c r="N13" i="22"/>
  <c r="N15" i="22" s="1"/>
  <c r="E13" i="22"/>
  <c r="E15" i="22" s="1"/>
  <c r="H13" i="22"/>
  <c r="H15" i="22" s="1"/>
  <c r="H17" i="22"/>
  <c r="L13" i="22"/>
  <c r="L15" i="22" s="1"/>
  <c r="I13" i="22"/>
  <c r="I15" i="22" s="1"/>
  <c r="I17" i="22"/>
  <c r="I19" i="22" s="1"/>
  <c r="J13" i="22"/>
  <c r="J15" i="22" s="1"/>
  <c r="J17" i="22"/>
  <c r="J18" i="22" s="1"/>
  <c r="M13" i="22"/>
  <c r="M15" i="22" s="1"/>
  <c r="M17" i="22"/>
  <c r="M18" i="22" s="1"/>
  <c r="O13" i="22"/>
  <c r="O15" i="22" s="1"/>
  <c r="O17" i="22"/>
  <c r="O20" i="22" s="1"/>
  <c r="R12" i="22"/>
  <c r="F20" i="22"/>
  <c r="F18" i="22"/>
  <c r="F19" i="22"/>
  <c r="N19" i="22"/>
  <c r="H19" i="22"/>
  <c r="G13" i="22"/>
  <c r="G15" i="22" s="1"/>
  <c r="K13" i="22"/>
  <c r="K15" i="22" s="1"/>
  <c r="E17" i="15"/>
  <c r="G283" i="16" s="1"/>
  <c r="G17" i="15"/>
  <c r="I283" i="16" s="1"/>
  <c r="F17" i="15"/>
  <c r="I17" i="15"/>
  <c r="K283" i="16" s="1"/>
  <c r="H17" i="15"/>
  <c r="J283" i="16" s="1"/>
  <c r="I17" i="13"/>
  <c r="K283" i="14" s="1"/>
  <c r="J17" i="13"/>
  <c r="K17" i="13"/>
  <c r="M283" i="14" s="1"/>
  <c r="N17" i="13"/>
  <c r="P283" i="14" s="1"/>
  <c r="G17" i="13"/>
  <c r="I283" i="14" s="1"/>
  <c r="O17" i="13"/>
  <c r="Q283" i="14" s="1"/>
  <c r="H17" i="13"/>
  <c r="J283" i="14" s="1"/>
  <c r="F15" i="11"/>
  <c r="H283" i="2" s="1"/>
  <c r="E15" i="11"/>
  <c r="G283" i="2" s="1"/>
  <c r="D15" i="11"/>
  <c r="F283" i="2" s="1"/>
  <c r="P18" i="22"/>
  <c r="P20" i="22"/>
  <c r="E283" i="18"/>
  <c r="P283" i="18" s="1"/>
  <c r="N13" i="17"/>
  <c r="E283" i="16"/>
  <c r="E283" i="14"/>
  <c r="D18" i="11"/>
  <c r="K18" i="11"/>
  <c r="C18" i="11"/>
  <c r="L18" i="11"/>
  <c r="N18" i="11"/>
  <c r="E283" i="2"/>
  <c r="J18" i="11"/>
  <c r="M18" i="11"/>
  <c r="O26" i="13"/>
  <c r="Q31" i="14" s="1"/>
  <c r="Q9" i="14"/>
  <c r="Q126" i="14"/>
  <c r="Q233" i="14"/>
  <c r="Q230" i="14"/>
  <c r="Q195" i="14"/>
  <c r="Q10" i="13"/>
  <c r="Q15" i="13"/>
  <c r="G22" i="11"/>
  <c r="N18" i="22"/>
  <c r="L19" i="22"/>
  <c r="L20" i="22"/>
  <c r="D18" i="22"/>
  <c r="K18" i="22"/>
  <c r="K20" i="22"/>
  <c r="K19" i="22"/>
  <c r="C18" i="22"/>
  <c r="C22" i="22" s="1"/>
  <c r="G19" i="22"/>
  <c r="G20" i="22"/>
  <c r="G18" i="22"/>
  <c r="E18" i="22"/>
  <c r="E20" i="22"/>
  <c r="E19" i="22"/>
  <c r="F20" i="17"/>
  <c r="G20" i="17"/>
  <c r="L18" i="17"/>
  <c r="L16" i="17"/>
  <c r="L17" i="17"/>
  <c r="N11" i="17"/>
  <c r="D249" i="10" s="1"/>
  <c r="H16" i="17"/>
  <c r="H18" i="17"/>
  <c r="H17" i="17"/>
  <c r="D18" i="17"/>
  <c r="D16" i="17"/>
  <c r="D17" i="17"/>
  <c r="K17" i="17"/>
  <c r="K18" i="17"/>
  <c r="K16" i="17"/>
  <c r="E18" i="17"/>
  <c r="E16" i="17"/>
  <c r="E17" i="17"/>
  <c r="J17" i="17"/>
  <c r="J18" i="17"/>
  <c r="J16" i="17"/>
  <c r="I16" i="17"/>
  <c r="I17" i="17"/>
  <c r="I18" i="17"/>
  <c r="C16" i="17"/>
  <c r="N15" i="17"/>
  <c r="I20" i="15"/>
  <c r="I21" i="15"/>
  <c r="I22" i="15"/>
  <c r="D22" i="15"/>
  <c r="D21" i="15"/>
  <c r="D20" i="15"/>
  <c r="G20" i="15"/>
  <c r="G21" i="15"/>
  <c r="G22" i="15"/>
  <c r="C21" i="15"/>
  <c r="C20" i="15"/>
  <c r="K19" i="15"/>
  <c r="H20" i="15"/>
  <c r="H21" i="15"/>
  <c r="H22" i="15"/>
  <c r="F20" i="15"/>
  <c r="F22" i="15"/>
  <c r="F21" i="15"/>
  <c r="K15" i="15"/>
  <c r="E22" i="15"/>
  <c r="E20" i="15"/>
  <c r="E21" i="15"/>
  <c r="N21" i="13"/>
  <c r="N22" i="13" s="1"/>
  <c r="K26" i="13"/>
  <c r="L22" i="13"/>
  <c r="L23" i="13"/>
  <c r="D22" i="13"/>
  <c r="D23" i="13"/>
  <c r="J23" i="13"/>
  <c r="J22" i="13"/>
  <c r="E22" i="13"/>
  <c r="E23" i="13"/>
  <c r="H23" i="13"/>
  <c r="H22" i="13"/>
  <c r="I23" i="13"/>
  <c r="I22" i="13"/>
  <c r="F22" i="13"/>
  <c r="F23" i="13"/>
  <c r="G22" i="13"/>
  <c r="G23" i="13"/>
  <c r="M22" i="13"/>
  <c r="M23" i="13"/>
  <c r="F22" i="11"/>
  <c r="Q12" i="11"/>
  <c r="N19" i="11"/>
  <c r="M19" i="11"/>
  <c r="J19" i="11"/>
  <c r="E19" i="11"/>
  <c r="D19" i="11"/>
  <c r="C19" i="11"/>
  <c r="L19" i="11"/>
  <c r="I19" i="11"/>
  <c r="K19" i="11"/>
  <c r="Q18" i="11"/>
  <c r="Q19" i="11"/>
  <c r="O19" i="22" l="1"/>
  <c r="O18" i="22"/>
  <c r="I20" i="22"/>
  <c r="I18" i="22"/>
  <c r="J19" i="22"/>
  <c r="R19" i="22" s="1"/>
  <c r="M20" i="22"/>
  <c r="J20" i="22"/>
  <c r="M19" i="22"/>
  <c r="M22" i="22" s="1"/>
  <c r="R17" i="22"/>
  <c r="F22" i="22"/>
  <c r="H18" i="22"/>
  <c r="H20" i="22"/>
  <c r="L18" i="22"/>
  <c r="N20" i="22"/>
  <c r="P22" i="22"/>
  <c r="Q200" i="14"/>
  <c r="K17" i="15"/>
  <c r="C249" i="10" s="1"/>
  <c r="H283" i="16"/>
  <c r="M283" i="16"/>
  <c r="Q70" i="14"/>
  <c r="C26" i="13"/>
  <c r="Q57" i="14"/>
  <c r="Q24" i="14"/>
  <c r="Q17" i="13"/>
  <c r="O249" i="10" s="1"/>
  <c r="L283" i="14"/>
  <c r="Q280" i="14"/>
  <c r="S283" i="14"/>
  <c r="Q250" i="14"/>
  <c r="Q101" i="14"/>
  <c r="Q129" i="14"/>
  <c r="Q257" i="14"/>
  <c r="Q108" i="14"/>
  <c r="Q268" i="14"/>
  <c r="Q159" i="14"/>
  <c r="Q247" i="14"/>
  <c r="Q170" i="14"/>
  <c r="Q173" i="14"/>
  <c r="Q106" i="14"/>
  <c r="Q125" i="14"/>
  <c r="Q88" i="14"/>
  <c r="E19" i="24"/>
  <c r="M22" i="11"/>
  <c r="N22" i="11"/>
  <c r="L22" i="11"/>
  <c r="J22" i="11"/>
  <c r="D22" i="11"/>
  <c r="K22" i="11"/>
  <c r="C22" i="11"/>
  <c r="Q15" i="11"/>
  <c r="S283" i="2" s="1"/>
  <c r="D11" i="24"/>
  <c r="D23" i="24" s="1"/>
  <c r="Q117" i="14"/>
  <c r="Q252" i="14"/>
  <c r="Q207" i="14"/>
  <c r="Q248" i="14"/>
  <c r="Q174" i="14"/>
  <c r="Q193" i="14"/>
  <c r="Q177" i="14"/>
  <c r="Q100" i="14"/>
  <c r="Q130" i="14"/>
  <c r="Q93" i="14"/>
  <c r="Q62" i="14"/>
  <c r="Q48" i="14"/>
  <c r="Q36" i="14"/>
  <c r="Q253" i="14"/>
  <c r="Q163" i="14"/>
  <c r="Q199" i="14"/>
  <c r="Q208" i="14"/>
  <c r="Q123" i="14"/>
  <c r="Q157" i="14"/>
  <c r="Q137" i="14"/>
  <c r="Q90" i="14"/>
  <c r="Q122" i="14"/>
  <c r="Q53" i="14"/>
  <c r="Q5" i="14"/>
  <c r="Q40" i="14"/>
  <c r="Q23" i="14"/>
  <c r="Q260" i="14"/>
  <c r="Q237" i="14"/>
  <c r="Q187" i="14"/>
  <c r="Q222" i="14"/>
  <c r="Q228" i="14"/>
  <c r="Q113" i="14"/>
  <c r="Q151" i="14"/>
  <c r="Q168" i="14"/>
  <c r="Q72" i="14"/>
  <c r="Q37" i="14"/>
  <c r="Q35" i="14"/>
  <c r="Q270" i="14"/>
  <c r="Q202" i="14"/>
  <c r="Q229" i="14"/>
  <c r="Q102" i="14"/>
  <c r="Q206" i="14"/>
  <c r="Q220" i="14"/>
  <c r="Q172" i="14"/>
  <c r="Q135" i="14"/>
  <c r="Q160" i="14"/>
  <c r="Q83" i="14"/>
  <c r="Q95" i="14"/>
  <c r="Q27" i="14"/>
  <c r="Q13" i="14"/>
  <c r="Q22" i="14"/>
  <c r="Q262" i="14"/>
  <c r="Q263" i="14"/>
  <c r="Q213" i="14"/>
  <c r="Q66" i="14"/>
  <c r="Q131" i="14"/>
  <c r="Q204" i="14"/>
  <c r="Q164" i="14"/>
  <c r="Q60" i="14"/>
  <c r="Q144" i="14"/>
  <c r="Q75" i="14"/>
  <c r="Q277" i="14"/>
  <c r="Q218" i="14"/>
  <c r="Q255" i="14"/>
  <c r="Q158" i="14"/>
  <c r="Q235" i="14"/>
  <c r="Q118" i="14"/>
  <c r="Q134" i="14"/>
  <c r="Q148" i="14"/>
  <c r="Q186" i="14"/>
  <c r="Q104" i="14"/>
  <c r="Q59" i="14"/>
  <c r="Q50" i="14"/>
  <c r="Q49" i="14"/>
  <c r="Q14" i="14"/>
  <c r="Q52" i="14"/>
  <c r="Q15" i="14"/>
  <c r="Q210" i="14"/>
  <c r="Q272" i="14"/>
  <c r="Q254" i="14"/>
  <c r="Q242" i="14"/>
  <c r="Q249" i="14"/>
  <c r="Q226" i="14"/>
  <c r="Q191" i="14"/>
  <c r="Q221" i="14"/>
  <c r="Q107" i="14"/>
  <c r="Q192" i="14"/>
  <c r="Q243" i="14"/>
  <c r="Q141" i="14"/>
  <c r="Q214" i="14"/>
  <c r="Q241" i="14"/>
  <c r="Q139" i="14"/>
  <c r="Q212" i="14"/>
  <c r="Q185" i="14"/>
  <c r="Q121" i="14"/>
  <c r="Q156" i="14"/>
  <c r="Q92" i="14"/>
  <c r="Q143" i="14"/>
  <c r="Q114" i="14"/>
  <c r="Q152" i="14"/>
  <c r="Q74" i="14"/>
  <c r="Q80" i="14"/>
  <c r="Q67" i="14"/>
  <c r="Q47" i="14"/>
  <c r="Q29" i="14"/>
  <c r="Q42" i="14"/>
  <c r="Q32" i="14"/>
  <c r="Q19" i="14"/>
  <c r="Q6" i="14"/>
  <c r="Q44" i="14"/>
  <c r="Q7" i="14"/>
  <c r="Q274" i="14"/>
  <c r="Q256" i="14"/>
  <c r="Q194" i="14"/>
  <c r="Q150" i="14"/>
  <c r="Q275" i="14"/>
  <c r="Q239" i="14"/>
  <c r="Q155" i="14"/>
  <c r="Q205" i="14"/>
  <c r="Q240" i="14"/>
  <c r="Q179" i="14"/>
  <c r="Q227" i="14"/>
  <c r="Q110" i="14"/>
  <c r="Q198" i="14"/>
  <c r="Q225" i="14"/>
  <c r="Q96" i="14"/>
  <c r="Q196" i="14"/>
  <c r="Q169" i="14"/>
  <c r="Q105" i="14"/>
  <c r="Q140" i="14"/>
  <c r="Q127" i="14"/>
  <c r="Q162" i="14"/>
  <c r="Q82" i="14"/>
  <c r="Q136" i="14"/>
  <c r="Q85" i="14"/>
  <c r="Q64" i="14"/>
  <c r="Q45" i="14"/>
  <c r="Q89" i="14"/>
  <c r="Q87" i="14"/>
  <c r="Q26" i="14"/>
  <c r="Q54" i="14"/>
  <c r="Q28" i="14"/>
  <c r="Q282" i="14"/>
  <c r="Q266" i="14"/>
  <c r="Q234" i="14"/>
  <c r="Q281" i="14"/>
  <c r="Q97" i="14"/>
  <c r="Q259" i="14"/>
  <c r="Q231" i="14"/>
  <c r="Q142" i="14"/>
  <c r="Q197" i="14"/>
  <c r="Q232" i="14"/>
  <c r="Q166" i="14"/>
  <c r="Q219" i="14"/>
  <c r="Q84" i="14"/>
  <c r="Q190" i="14"/>
  <c r="Q217" i="14"/>
  <c r="Q76" i="14"/>
  <c r="Q188" i="14"/>
  <c r="Q161" i="14"/>
  <c r="Q98" i="14"/>
  <c r="Q132" i="14"/>
  <c r="Q183" i="14"/>
  <c r="Q119" i="14"/>
  <c r="Q154" i="14"/>
  <c r="Q39" i="14"/>
  <c r="Q128" i="14"/>
  <c r="Q77" i="14"/>
  <c r="Q55" i="14"/>
  <c r="Q94" i="14"/>
  <c r="Q81" i="14"/>
  <c r="Q79" i="14"/>
  <c r="Q18" i="14"/>
  <c r="Q46" i="14"/>
  <c r="Q33" i="14"/>
  <c r="Q20" i="14"/>
  <c r="Q258" i="14"/>
  <c r="Q269" i="14"/>
  <c r="Q181" i="14"/>
  <c r="Q273" i="14"/>
  <c r="Q267" i="14"/>
  <c r="Q279" i="14"/>
  <c r="Q223" i="14"/>
  <c r="Q109" i="14"/>
  <c r="Q189" i="14"/>
  <c r="Q224" i="14"/>
  <c r="Q133" i="14"/>
  <c r="Q211" i="14"/>
  <c r="Q246" i="14"/>
  <c r="Q182" i="14"/>
  <c r="Q209" i="14"/>
  <c r="Q244" i="14"/>
  <c r="Q165" i="14"/>
  <c r="Q68" i="14"/>
  <c r="Q124" i="14"/>
  <c r="Q175" i="14"/>
  <c r="Q111" i="14"/>
  <c r="Q146" i="14"/>
  <c r="Q184" i="14"/>
  <c r="Q120" i="14"/>
  <c r="Q69" i="14"/>
  <c r="Q21" i="14"/>
  <c r="Q86" i="14"/>
  <c r="Q73" i="14"/>
  <c r="Q71" i="14"/>
  <c r="Q10" i="14"/>
  <c r="Q51" i="14"/>
  <c r="Q38" i="14"/>
  <c r="Q25" i="14"/>
  <c r="Q12" i="14"/>
  <c r="Q251" i="14"/>
  <c r="Q261" i="14"/>
  <c r="Q278" i="14"/>
  <c r="Q265" i="14"/>
  <c r="Q276" i="14"/>
  <c r="Q271" i="14"/>
  <c r="Q215" i="14"/>
  <c r="Q245" i="14"/>
  <c r="Q171" i="14"/>
  <c r="Q216" i="14"/>
  <c r="Q115" i="14"/>
  <c r="Q203" i="14"/>
  <c r="Q238" i="14"/>
  <c r="Q149" i="14"/>
  <c r="Q201" i="14"/>
  <c r="Q236" i="14"/>
  <c r="Q147" i="14"/>
  <c r="Q145" i="14"/>
  <c r="Q180" i="14"/>
  <c r="Q116" i="14"/>
  <c r="Q167" i="14"/>
  <c r="Q103" i="14"/>
  <c r="Q138" i="14"/>
  <c r="Q176" i="14"/>
  <c r="Q112" i="14"/>
  <c r="Q61" i="14"/>
  <c r="Q91" i="14"/>
  <c r="Q78" i="14"/>
  <c r="Q65" i="14"/>
  <c r="Q63" i="14"/>
  <c r="Q56" i="14"/>
  <c r="Q43" i="14"/>
  <c r="Q30" i="14"/>
  <c r="Q17" i="14"/>
  <c r="I5" i="18"/>
  <c r="I9" i="18"/>
  <c r="I13" i="18"/>
  <c r="I17" i="18"/>
  <c r="I21" i="18"/>
  <c r="I25" i="18"/>
  <c r="I29" i="18"/>
  <c r="I33" i="18"/>
  <c r="I37" i="18"/>
  <c r="I45" i="18"/>
  <c r="I49" i="18"/>
  <c r="I53" i="18"/>
  <c r="I57" i="18"/>
  <c r="I14" i="18"/>
  <c r="I15" i="18"/>
  <c r="I30" i="18"/>
  <c r="I31" i="18"/>
  <c r="I32" i="18"/>
  <c r="I46" i="18"/>
  <c r="I50" i="18"/>
  <c r="I54" i="18"/>
  <c r="I10" i="18"/>
  <c r="I12" i="18"/>
  <c r="I26" i="18"/>
  <c r="I27" i="18"/>
  <c r="I28" i="18"/>
  <c r="I6" i="18"/>
  <c r="I23" i="18"/>
  <c r="I38" i="18"/>
  <c r="I40" i="18"/>
  <c r="I42" i="18"/>
  <c r="I61" i="18"/>
  <c r="I52" i="18"/>
  <c r="I62" i="18"/>
  <c r="I63" i="18"/>
  <c r="I67" i="18"/>
  <c r="I71" i="18"/>
  <c r="I75" i="18"/>
  <c r="I79" i="18"/>
  <c r="I83" i="18"/>
  <c r="I87" i="18"/>
  <c r="I91" i="18"/>
  <c r="I95" i="18"/>
  <c r="I19" i="18"/>
  <c r="I36" i="18"/>
  <c r="I44" i="18"/>
  <c r="I43" i="18"/>
  <c r="I48" i="18"/>
  <c r="I56" i="18"/>
  <c r="I65" i="18"/>
  <c r="I69" i="18"/>
  <c r="I73" i="18"/>
  <c r="I77" i="18"/>
  <c r="I81" i="18"/>
  <c r="I85" i="18"/>
  <c r="I89" i="18"/>
  <c r="I93" i="18"/>
  <c r="I18" i="18"/>
  <c r="I20" i="18"/>
  <c r="I35" i="18"/>
  <c r="I59" i="18"/>
  <c r="I92" i="18"/>
  <c r="I100" i="18"/>
  <c r="I22" i="18"/>
  <c r="I39" i="18"/>
  <c r="I60" i="18"/>
  <c r="I84" i="18"/>
  <c r="I86" i="18"/>
  <c r="I102" i="18"/>
  <c r="I80" i="18"/>
  <c r="I82" i="18"/>
  <c r="I103" i="18"/>
  <c r="I104" i="18"/>
  <c r="I108" i="18"/>
  <c r="I112" i="18"/>
  <c r="I116" i="18"/>
  <c r="I120" i="18"/>
  <c r="I124" i="18"/>
  <c r="I128" i="18"/>
  <c r="I132" i="18"/>
  <c r="I136" i="18"/>
  <c r="I140" i="18"/>
  <c r="I7" i="18"/>
  <c r="I24" i="18"/>
  <c r="I72" i="18"/>
  <c r="I74" i="18"/>
  <c r="I96" i="18"/>
  <c r="I105" i="18"/>
  <c r="I109" i="18"/>
  <c r="I113" i="18"/>
  <c r="I117" i="18"/>
  <c r="I121" i="18"/>
  <c r="I125" i="18"/>
  <c r="I129" i="18"/>
  <c r="I133" i="18"/>
  <c r="I137" i="18"/>
  <c r="I88" i="18"/>
  <c r="I101" i="18"/>
  <c r="I111" i="18"/>
  <c r="I119" i="18"/>
  <c r="I127" i="18"/>
  <c r="I135" i="18"/>
  <c r="I143" i="18"/>
  <c r="I147" i="18"/>
  <c r="I151" i="18"/>
  <c r="I51" i="18"/>
  <c r="I68" i="18"/>
  <c r="I144" i="18"/>
  <c r="I148" i="18"/>
  <c r="I152" i="18"/>
  <c r="I78" i="18"/>
  <c r="I139" i="18"/>
  <c r="I141" i="18"/>
  <c r="I55" i="18"/>
  <c r="I70" i="18"/>
  <c r="I97" i="18"/>
  <c r="I142" i="18"/>
  <c r="I146" i="18"/>
  <c r="I150" i="18"/>
  <c r="I154" i="18"/>
  <c r="I158" i="18"/>
  <c r="I162" i="18"/>
  <c r="I166" i="18"/>
  <c r="I170" i="18"/>
  <c r="I174" i="18"/>
  <c r="I76" i="18"/>
  <c r="I161" i="18"/>
  <c r="I172" i="18"/>
  <c r="I98" i="18"/>
  <c r="I118" i="18"/>
  <c r="I134" i="18"/>
  <c r="I163" i="18"/>
  <c r="I173" i="18"/>
  <c r="I182" i="18"/>
  <c r="I186" i="18"/>
  <c r="I190" i="18"/>
  <c r="I194" i="18"/>
  <c r="I198" i="18"/>
  <c r="I202" i="18"/>
  <c r="I206" i="18"/>
  <c r="I210" i="18"/>
  <c r="I214" i="18"/>
  <c r="I218" i="18"/>
  <c r="I222" i="18"/>
  <c r="I47" i="18"/>
  <c r="I106" i="18"/>
  <c r="I122" i="18"/>
  <c r="I138" i="18"/>
  <c r="I165" i="18"/>
  <c r="I175" i="18"/>
  <c r="I179" i="18"/>
  <c r="I183" i="18"/>
  <c r="I187" i="18"/>
  <c r="I191" i="18"/>
  <c r="I195" i="18"/>
  <c r="I199" i="18"/>
  <c r="I203" i="18"/>
  <c r="I207" i="18"/>
  <c r="I211" i="18"/>
  <c r="I215" i="18"/>
  <c r="I219" i="18"/>
  <c r="I223" i="18"/>
  <c r="I155" i="18"/>
  <c r="I156" i="18"/>
  <c r="I167" i="18"/>
  <c r="I131" i="18"/>
  <c r="I145" i="18"/>
  <c r="I164" i="18"/>
  <c r="I216" i="18"/>
  <c r="I221" i="18"/>
  <c r="I225" i="18"/>
  <c r="I229" i="18"/>
  <c r="I233" i="18"/>
  <c r="I237" i="18"/>
  <c r="I241" i="18"/>
  <c r="I245" i="18"/>
  <c r="I249" i="18"/>
  <c r="I253" i="18"/>
  <c r="I257" i="18"/>
  <c r="I261" i="18"/>
  <c r="I265" i="18"/>
  <c r="I269" i="18"/>
  <c r="I273" i="18"/>
  <c r="I277" i="18"/>
  <c r="I281" i="18"/>
  <c r="I227" i="18"/>
  <c r="I243" i="18"/>
  <c r="I259" i="18"/>
  <c r="I263" i="18"/>
  <c r="I126" i="18"/>
  <c r="I157" i="18"/>
  <c r="I168" i="18"/>
  <c r="I180" i="18"/>
  <c r="I188" i="18"/>
  <c r="I196" i="18"/>
  <c r="I220" i="18"/>
  <c r="I205" i="18"/>
  <c r="I231" i="18"/>
  <c r="I251" i="18"/>
  <c r="I267" i="18"/>
  <c r="I279" i="18"/>
  <c r="I90" i="18"/>
  <c r="I107" i="18"/>
  <c r="I149" i="18"/>
  <c r="I159" i="18"/>
  <c r="I226" i="18"/>
  <c r="I230" i="18"/>
  <c r="I234" i="18"/>
  <c r="I238" i="18"/>
  <c r="I242" i="18"/>
  <c r="I246" i="18"/>
  <c r="I250" i="18"/>
  <c r="I254" i="18"/>
  <c r="I258" i="18"/>
  <c r="I262" i="18"/>
  <c r="I266" i="18"/>
  <c r="I270" i="18"/>
  <c r="I274" i="18"/>
  <c r="I278" i="18"/>
  <c r="I282" i="18"/>
  <c r="I94" i="18"/>
  <c r="I235" i="18"/>
  <c r="I255" i="18"/>
  <c r="I114" i="18"/>
  <c r="I177" i="18"/>
  <c r="I185" i="18"/>
  <c r="I193" i="18"/>
  <c r="I201" i="18"/>
  <c r="I115" i="18"/>
  <c r="I239" i="18"/>
  <c r="I247" i="18"/>
  <c r="I271" i="18"/>
  <c r="I275" i="18"/>
  <c r="I189" i="18"/>
  <c r="I209" i="18"/>
  <c r="I212" i="18"/>
  <c r="I244" i="18"/>
  <c r="I276" i="18"/>
  <c r="I213" i="18"/>
  <c r="I268" i="18"/>
  <c r="I256" i="18"/>
  <c r="I208" i="18"/>
  <c r="I197" i="18"/>
  <c r="I181" i="18"/>
  <c r="I240" i="18"/>
  <c r="I272" i="18"/>
  <c r="I280" i="18"/>
  <c r="I130" i="18"/>
  <c r="I236" i="18"/>
  <c r="I123" i="18"/>
  <c r="I252" i="18"/>
  <c r="I110" i="18"/>
  <c r="I171" i="18"/>
  <c r="I248" i="18"/>
  <c r="I64" i="18"/>
  <c r="I169" i="18"/>
  <c r="I200" i="18"/>
  <c r="I232" i="18"/>
  <c r="I192" i="18"/>
  <c r="I228" i="18"/>
  <c r="I260" i="18"/>
  <c r="I160" i="18"/>
  <c r="I184" i="18"/>
  <c r="I224" i="18"/>
  <c r="I204" i="18"/>
  <c r="I217" i="18"/>
  <c r="I66" i="18"/>
  <c r="I176" i="18"/>
  <c r="H5" i="18"/>
  <c r="H9" i="18"/>
  <c r="H13" i="18"/>
  <c r="H17" i="18"/>
  <c r="H21" i="18"/>
  <c r="H25" i="18"/>
  <c r="H29" i="18"/>
  <c r="H33" i="18"/>
  <c r="H37" i="18"/>
  <c r="H14" i="18"/>
  <c r="H15" i="18"/>
  <c r="H30" i="18"/>
  <c r="H31" i="18"/>
  <c r="H32" i="18"/>
  <c r="H46" i="18"/>
  <c r="H50" i="18"/>
  <c r="H54" i="18"/>
  <c r="H10" i="18"/>
  <c r="H12" i="18"/>
  <c r="H26" i="18"/>
  <c r="H27" i="18"/>
  <c r="H28" i="18"/>
  <c r="H47" i="18"/>
  <c r="H51" i="18"/>
  <c r="H55" i="18"/>
  <c r="H59" i="18"/>
  <c r="H63" i="18"/>
  <c r="H52" i="18"/>
  <c r="H62" i="18"/>
  <c r="H67" i="18"/>
  <c r="H71" i="18"/>
  <c r="H75" i="18"/>
  <c r="H79" i="18"/>
  <c r="H83" i="18"/>
  <c r="H87" i="18"/>
  <c r="H91" i="18"/>
  <c r="H95" i="18"/>
  <c r="H19" i="18"/>
  <c r="H36" i="18"/>
  <c r="H44" i="18"/>
  <c r="H49" i="18"/>
  <c r="H57" i="18"/>
  <c r="H64" i="18"/>
  <c r="H68" i="18"/>
  <c r="H72" i="18"/>
  <c r="H76" i="18"/>
  <c r="H80" i="18"/>
  <c r="H84" i="18"/>
  <c r="H88" i="18"/>
  <c r="H92" i="18"/>
  <c r="H96" i="18"/>
  <c r="H100" i="18"/>
  <c r="H104" i="18"/>
  <c r="H18" i="18"/>
  <c r="H20" i="18"/>
  <c r="H35" i="18"/>
  <c r="H45" i="18"/>
  <c r="H53" i="18"/>
  <c r="H60" i="18"/>
  <c r="H66" i="18"/>
  <c r="H70" i="18"/>
  <c r="H74" i="18"/>
  <c r="H78" i="18"/>
  <c r="H82" i="18"/>
  <c r="H86" i="18"/>
  <c r="H90" i="18"/>
  <c r="H94" i="18"/>
  <c r="H38" i="18"/>
  <c r="H43" i="18"/>
  <c r="H56" i="18"/>
  <c r="H77" i="18"/>
  <c r="H101" i="18"/>
  <c r="H107" i="18"/>
  <c r="H111" i="18"/>
  <c r="H115" i="18"/>
  <c r="H119" i="18"/>
  <c r="H123" i="18"/>
  <c r="H127" i="18"/>
  <c r="H131" i="18"/>
  <c r="H135" i="18"/>
  <c r="H139" i="18"/>
  <c r="H22" i="18"/>
  <c r="H69" i="18"/>
  <c r="H103" i="18"/>
  <c r="H108" i="18"/>
  <c r="H112" i="18"/>
  <c r="H116" i="18"/>
  <c r="H120" i="18"/>
  <c r="H124" i="18"/>
  <c r="H128" i="18"/>
  <c r="H132" i="18"/>
  <c r="H136" i="18"/>
  <c r="H6" i="18"/>
  <c r="H23" i="18"/>
  <c r="H40" i="18"/>
  <c r="H65" i="18"/>
  <c r="H61" i="18"/>
  <c r="H89" i="18"/>
  <c r="H97" i="18"/>
  <c r="H39" i="18"/>
  <c r="H48" i="18"/>
  <c r="H42" i="18"/>
  <c r="H85" i="18"/>
  <c r="H98" i="18"/>
  <c r="H110" i="18"/>
  <c r="H118" i="18"/>
  <c r="H126" i="18"/>
  <c r="H134" i="18"/>
  <c r="H24" i="18"/>
  <c r="H109" i="18"/>
  <c r="H117" i="18"/>
  <c r="H125" i="18"/>
  <c r="H133" i="18"/>
  <c r="H142" i="18"/>
  <c r="H146" i="18"/>
  <c r="H150" i="18"/>
  <c r="H154" i="18"/>
  <c r="H106" i="18"/>
  <c r="H114" i="18"/>
  <c r="H122" i="18"/>
  <c r="H130" i="18"/>
  <c r="H138" i="18"/>
  <c r="H93" i="18"/>
  <c r="H105" i="18"/>
  <c r="H121" i="18"/>
  <c r="H137" i="18"/>
  <c r="H148" i="18"/>
  <c r="H162" i="18"/>
  <c r="H163" i="18"/>
  <c r="H173" i="18"/>
  <c r="H182" i="18"/>
  <c r="H186" i="18"/>
  <c r="H190" i="18"/>
  <c r="H194" i="18"/>
  <c r="H198" i="18"/>
  <c r="H202" i="18"/>
  <c r="H206" i="18"/>
  <c r="H210" i="18"/>
  <c r="H214" i="18"/>
  <c r="H218" i="18"/>
  <c r="H222" i="18"/>
  <c r="H145" i="18"/>
  <c r="H164" i="18"/>
  <c r="H174" i="18"/>
  <c r="H147" i="18"/>
  <c r="H155" i="18"/>
  <c r="H156" i="18"/>
  <c r="H166" i="18"/>
  <c r="H167" i="18"/>
  <c r="H113" i="18"/>
  <c r="H129" i="18"/>
  <c r="H144" i="18"/>
  <c r="H152" i="18"/>
  <c r="H157" i="18"/>
  <c r="H168" i="18"/>
  <c r="H176" i="18"/>
  <c r="H180" i="18"/>
  <c r="H184" i="18"/>
  <c r="H188" i="18"/>
  <c r="H192" i="18"/>
  <c r="H196" i="18"/>
  <c r="H200" i="18"/>
  <c r="H175" i="18"/>
  <c r="H183" i="18"/>
  <c r="H191" i="18"/>
  <c r="H199" i="18"/>
  <c r="H211" i="18"/>
  <c r="H220" i="18"/>
  <c r="H179" i="18"/>
  <c r="H204" i="18"/>
  <c r="H209" i="18"/>
  <c r="H149" i="18"/>
  <c r="H159" i="18"/>
  <c r="H215" i="18"/>
  <c r="H226" i="18"/>
  <c r="H230" i="18"/>
  <c r="H234" i="18"/>
  <c r="H238" i="18"/>
  <c r="H242" i="18"/>
  <c r="H246" i="18"/>
  <c r="H250" i="18"/>
  <c r="H254" i="18"/>
  <c r="H258" i="18"/>
  <c r="H262" i="18"/>
  <c r="H266" i="18"/>
  <c r="H270" i="18"/>
  <c r="H274" i="18"/>
  <c r="H278" i="18"/>
  <c r="H282" i="18"/>
  <c r="H165" i="18"/>
  <c r="H187" i="18"/>
  <c r="H195" i="18"/>
  <c r="H7" i="18"/>
  <c r="H73" i="18"/>
  <c r="H170" i="18"/>
  <c r="H177" i="18"/>
  <c r="H185" i="18"/>
  <c r="H193" i="18"/>
  <c r="H201" i="18"/>
  <c r="H219" i="18"/>
  <c r="H140" i="18"/>
  <c r="H223" i="18"/>
  <c r="H143" i="18"/>
  <c r="H161" i="18"/>
  <c r="H172" i="18"/>
  <c r="H205" i="18"/>
  <c r="H227" i="18"/>
  <c r="H231" i="18"/>
  <c r="H235" i="18"/>
  <c r="H239" i="18"/>
  <c r="H243" i="18"/>
  <c r="H247" i="18"/>
  <c r="H251" i="18"/>
  <c r="H255" i="18"/>
  <c r="H259" i="18"/>
  <c r="H263" i="18"/>
  <c r="H267" i="18"/>
  <c r="H271" i="18"/>
  <c r="H275" i="18"/>
  <c r="H279" i="18"/>
  <c r="H102" i="18"/>
  <c r="H158" i="18"/>
  <c r="H181" i="18"/>
  <c r="H229" i="18"/>
  <c r="H240" i="18"/>
  <c r="H261" i="18"/>
  <c r="H272" i="18"/>
  <c r="H280" i="18"/>
  <c r="H241" i="18"/>
  <c r="H281" i="18"/>
  <c r="H248" i="18"/>
  <c r="H269" i="18"/>
  <c r="H151" i="18"/>
  <c r="H213" i="18"/>
  <c r="H216" i="18"/>
  <c r="H225" i="18"/>
  <c r="H236" i="18"/>
  <c r="H257" i="18"/>
  <c r="H268" i="18"/>
  <c r="H169" i="18"/>
  <c r="H203" i="18"/>
  <c r="H232" i="18"/>
  <c r="H253" i="18"/>
  <c r="H208" i="18"/>
  <c r="H221" i="18"/>
  <c r="H277" i="18"/>
  <c r="H171" i="18"/>
  <c r="H237" i="18"/>
  <c r="H141" i="18"/>
  <c r="H244" i="18"/>
  <c r="H276" i="18"/>
  <c r="H217" i="18"/>
  <c r="H228" i="18"/>
  <c r="H249" i="18"/>
  <c r="H260" i="18"/>
  <c r="H160" i="18"/>
  <c r="H207" i="18"/>
  <c r="H224" i="18"/>
  <c r="H245" i="18"/>
  <c r="H273" i="18"/>
  <c r="H81" i="18"/>
  <c r="H256" i="18"/>
  <c r="H252" i="18"/>
  <c r="H197" i="18"/>
  <c r="H189" i="18"/>
  <c r="H212" i="18"/>
  <c r="H233" i="18"/>
  <c r="H265" i="18"/>
  <c r="I24" i="15"/>
  <c r="K10" i="16" s="1"/>
  <c r="K18" i="16"/>
  <c r="K17" i="16"/>
  <c r="N23" i="13"/>
  <c r="Q23" i="13" s="1"/>
  <c r="Q22" i="13"/>
  <c r="N24" i="13"/>
  <c r="Q24" i="13" s="1"/>
  <c r="J26" i="13"/>
  <c r="Q21" i="13"/>
  <c r="M19" i="14"/>
  <c r="M27" i="14"/>
  <c r="M35" i="14"/>
  <c r="M24" i="14"/>
  <c r="M32" i="14"/>
  <c r="M40" i="14"/>
  <c r="M48" i="14"/>
  <c r="M56" i="14"/>
  <c r="M5" i="14"/>
  <c r="M13" i="14"/>
  <c r="M21" i="14"/>
  <c r="M29" i="14"/>
  <c r="M37" i="14"/>
  <c r="M45" i="14"/>
  <c r="M53" i="14"/>
  <c r="M10" i="14"/>
  <c r="M18" i="14"/>
  <c r="M26" i="14"/>
  <c r="M42" i="14"/>
  <c r="M50" i="14"/>
  <c r="M7" i="14"/>
  <c r="M15" i="14"/>
  <c r="M23" i="14"/>
  <c r="M31" i="14"/>
  <c r="M39" i="14"/>
  <c r="M47" i="14"/>
  <c r="M55" i="14"/>
  <c r="M12" i="14"/>
  <c r="M20" i="14"/>
  <c r="M28" i="14"/>
  <c r="M36" i="14"/>
  <c r="M44" i="14"/>
  <c r="M52" i="14"/>
  <c r="M6" i="14"/>
  <c r="M14" i="14"/>
  <c r="M22" i="14"/>
  <c r="M30" i="14"/>
  <c r="M38" i="14"/>
  <c r="M46" i="14"/>
  <c r="M54" i="14"/>
  <c r="M33" i="14"/>
  <c r="M49" i="14"/>
  <c r="M59" i="14"/>
  <c r="M67" i="14"/>
  <c r="M75" i="14"/>
  <c r="M83" i="14"/>
  <c r="M91" i="14"/>
  <c r="M61" i="14"/>
  <c r="M69" i="14"/>
  <c r="M77" i="14"/>
  <c r="M85" i="14"/>
  <c r="M93" i="14"/>
  <c r="M25" i="14"/>
  <c r="M66" i="14"/>
  <c r="M74" i="14"/>
  <c r="M82" i="14"/>
  <c r="M90" i="14"/>
  <c r="M63" i="14"/>
  <c r="M71" i="14"/>
  <c r="M79" i="14"/>
  <c r="M87" i="14"/>
  <c r="M43" i="14"/>
  <c r="M60" i="14"/>
  <c r="M68" i="14"/>
  <c r="M76" i="14"/>
  <c r="M84" i="14"/>
  <c r="M92" i="14"/>
  <c r="M17" i="14"/>
  <c r="M57" i="14"/>
  <c r="M65" i="14"/>
  <c r="M73" i="14"/>
  <c r="M81" i="14"/>
  <c r="M89" i="14"/>
  <c r="M62" i="14"/>
  <c r="M100" i="14"/>
  <c r="M108" i="14"/>
  <c r="M116" i="14"/>
  <c r="M124" i="14"/>
  <c r="M132" i="14"/>
  <c r="M140" i="14"/>
  <c r="M148" i="14"/>
  <c r="M156" i="14"/>
  <c r="M164" i="14"/>
  <c r="M172" i="14"/>
  <c r="M180" i="14"/>
  <c r="M51" i="14"/>
  <c r="M70" i="14"/>
  <c r="M96" i="14"/>
  <c r="M102" i="14"/>
  <c r="M110" i="14"/>
  <c r="M118" i="14"/>
  <c r="M126" i="14"/>
  <c r="M134" i="14"/>
  <c r="M142" i="14"/>
  <c r="M150" i="14"/>
  <c r="M158" i="14"/>
  <c r="M166" i="14"/>
  <c r="M174" i="14"/>
  <c r="M182" i="14"/>
  <c r="M9" i="14"/>
  <c r="M80" i="14"/>
  <c r="M107" i="14"/>
  <c r="M115" i="14"/>
  <c r="M123" i="14"/>
  <c r="M131" i="14"/>
  <c r="M139" i="14"/>
  <c r="M147" i="14"/>
  <c r="M155" i="14"/>
  <c r="M163" i="14"/>
  <c r="M171" i="14"/>
  <c r="M179" i="14"/>
  <c r="M187" i="14"/>
  <c r="M78" i="14"/>
  <c r="M104" i="14"/>
  <c r="M112" i="14"/>
  <c r="M120" i="14"/>
  <c r="M128" i="14"/>
  <c r="M136" i="14"/>
  <c r="M144" i="14"/>
  <c r="M152" i="14"/>
  <c r="M160" i="14"/>
  <c r="M168" i="14"/>
  <c r="M176" i="14"/>
  <c r="M184" i="14"/>
  <c r="M88" i="14"/>
  <c r="M101" i="14"/>
  <c r="M109" i="14"/>
  <c r="M117" i="14"/>
  <c r="M125" i="14"/>
  <c r="M133" i="14"/>
  <c r="M141" i="14"/>
  <c r="M149" i="14"/>
  <c r="M157" i="14"/>
  <c r="M165" i="14"/>
  <c r="M173" i="14"/>
  <c r="M181" i="14"/>
  <c r="M94" i="14"/>
  <c r="M103" i="14"/>
  <c r="M121" i="14"/>
  <c r="M154" i="14"/>
  <c r="M167" i="14"/>
  <c r="M185" i="14"/>
  <c r="M192" i="14"/>
  <c r="M200" i="14"/>
  <c r="M208" i="14"/>
  <c r="M216" i="14"/>
  <c r="M224" i="14"/>
  <c r="M232" i="14"/>
  <c r="M240" i="14"/>
  <c r="M248" i="14"/>
  <c r="M98" i="14"/>
  <c r="M113" i="14"/>
  <c r="M146" i="14"/>
  <c r="M159" i="14"/>
  <c r="M177" i="14"/>
  <c r="M189" i="14"/>
  <c r="M197" i="14"/>
  <c r="M205" i="14"/>
  <c r="M213" i="14"/>
  <c r="M221" i="14"/>
  <c r="M229" i="14"/>
  <c r="M237" i="14"/>
  <c r="M245" i="14"/>
  <c r="M64" i="14"/>
  <c r="M105" i="14"/>
  <c r="M138" i="14"/>
  <c r="M151" i="14"/>
  <c r="M169" i="14"/>
  <c r="M194" i="14"/>
  <c r="M202" i="14"/>
  <c r="M210" i="14"/>
  <c r="M218" i="14"/>
  <c r="M226" i="14"/>
  <c r="M234" i="14"/>
  <c r="M242" i="14"/>
  <c r="M130" i="14"/>
  <c r="M143" i="14"/>
  <c r="M161" i="14"/>
  <c r="M191" i="14"/>
  <c r="M199" i="14"/>
  <c r="M207" i="14"/>
  <c r="M215" i="14"/>
  <c r="M223" i="14"/>
  <c r="M231" i="14"/>
  <c r="M239" i="14"/>
  <c r="M247" i="14"/>
  <c r="M72" i="14"/>
  <c r="M86" i="14"/>
  <c r="M95" i="14"/>
  <c r="M97" i="14"/>
  <c r="M122" i="14"/>
  <c r="M135" i="14"/>
  <c r="M186" i="14"/>
  <c r="M188" i="14"/>
  <c r="M196" i="14"/>
  <c r="M204" i="14"/>
  <c r="M212" i="14"/>
  <c r="M220" i="14"/>
  <c r="M228" i="14"/>
  <c r="M236" i="14"/>
  <c r="M244" i="14"/>
  <c r="M114" i="14"/>
  <c r="M127" i="14"/>
  <c r="M145" i="14"/>
  <c r="M193" i="14"/>
  <c r="M201" i="14"/>
  <c r="M209" i="14"/>
  <c r="M217" i="14"/>
  <c r="M225" i="14"/>
  <c r="M233" i="14"/>
  <c r="M241" i="14"/>
  <c r="M249" i="14"/>
  <c r="M111" i="14"/>
  <c r="M129" i="14"/>
  <c r="M162" i="14"/>
  <c r="M175" i="14"/>
  <c r="M195" i="14"/>
  <c r="M203" i="14"/>
  <c r="M211" i="14"/>
  <c r="M219" i="14"/>
  <c r="M227" i="14"/>
  <c r="M235" i="14"/>
  <c r="M243" i="14"/>
  <c r="M251" i="14"/>
  <c r="M246" i="14"/>
  <c r="M259" i="14"/>
  <c r="M267" i="14"/>
  <c r="M275" i="14"/>
  <c r="M222" i="14"/>
  <c r="M256" i="14"/>
  <c r="M272" i="14"/>
  <c r="M280" i="14"/>
  <c r="M263" i="14"/>
  <c r="M271" i="14"/>
  <c r="M137" i="14"/>
  <c r="M198" i="14"/>
  <c r="M253" i="14"/>
  <c r="M261" i="14"/>
  <c r="M269" i="14"/>
  <c r="M277" i="14"/>
  <c r="M214" i="14"/>
  <c r="M255" i="14"/>
  <c r="M279" i="14"/>
  <c r="M238" i="14"/>
  <c r="M258" i="14"/>
  <c r="M266" i="14"/>
  <c r="M274" i="14"/>
  <c r="M282" i="14"/>
  <c r="M190" i="14"/>
  <c r="M250" i="14"/>
  <c r="M260" i="14"/>
  <c r="M268" i="14"/>
  <c r="M276" i="14"/>
  <c r="M257" i="14"/>
  <c r="M265" i="14"/>
  <c r="M273" i="14"/>
  <c r="M106" i="14"/>
  <c r="M119" i="14"/>
  <c r="M206" i="14"/>
  <c r="M252" i="14"/>
  <c r="M254" i="14"/>
  <c r="M270" i="14"/>
  <c r="M278" i="14"/>
  <c r="M170" i="14"/>
  <c r="M183" i="14"/>
  <c r="M230" i="14"/>
  <c r="M281" i="14"/>
  <c r="M262" i="14"/>
  <c r="M159" i="2"/>
  <c r="M50" i="2"/>
  <c r="M102" i="2"/>
  <c r="M145" i="2"/>
  <c r="M148" i="2"/>
  <c r="M17" i="2"/>
  <c r="M126" i="2"/>
  <c r="M142" i="2"/>
  <c r="M152" i="2"/>
  <c r="M40" i="2"/>
  <c r="M52" i="2"/>
  <c r="M161" i="2"/>
  <c r="M163" i="2"/>
  <c r="M85" i="2"/>
  <c r="M196" i="2"/>
  <c r="M200" i="2"/>
  <c r="M228" i="2"/>
  <c r="M232" i="2"/>
  <c r="M122" i="2"/>
  <c r="M166" i="2"/>
  <c r="M187" i="2"/>
  <c r="M191" i="2"/>
  <c r="M223" i="2"/>
  <c r="M227" i="2"/>
  <c r="M177" i="2"/>
  <c r="M189" i="2"/>
  <c r="M4" i="2"/>
  <c r="M35" i="2"/>
  <c r="M263" i="2"/>
  <c r="M267" i="2"/>
  <c r="M107" i="2"/>
  <c r="M137" i="2"/>
  <c r="M233" i="2"/>
  <c r="M21" i="2"/>
  <c r="M214" i="2"/>
  <c r="M222" i="2"/>
  <c r="M258" i="2"/>
  <c r="M262" i="2"/>
  <c r="M185" i="2"/>
  <c r="M193" i="2"/>
  <c r="M249" i="2"/>
  <c r="M253" i="2"/>
  <c r="M281" i="2"/>
  <c r="M44" i="2"/>
  <c r="M256" i="2"/>
  <c r="M194" i="2"/>
  <c r="M280" i="2"/>
  <c r="M186" i="2"/>
  <c r="M276" i="2"/>
  <c r="M210" i="2"/>
  <c r="O7" i="2"/>
  <c r="O11" i="2"/>
  <c r="O15" i="2"/>
  <c r="O23" i="2"/>
  <c r="O27" i="2"/>
  <c r="O31" i="2"/>
  <c r="O35" i="2"/>
  <c r="O39" i="2"/>
  <c r="O43" i="2"/>
  <c r="O47" i="2"/>
  <c r="O51" i="2"/>
  <c r="O55" i="2"/>
  <c r="O59" i="2"/>
  <c r="O63" i="2"/>
  <c r="O67" i="2"/>
  <c r="O71" i="2"/>
  <c r="O75" i="2"/>
  <c r="O79" i="2"/>
  <c r="O83" i="2"/>
  <c r="O87" i="2"/>
  <c r="O9" i="2"/>
  <c r="O5" i="2"/>
  <c r="O22" i="2"/>
  <c r="O24" i="2"/>
  <c r="O110" i="2"/>
  <c r="O113" i="2"/>
  <c r="O116" i="2"/>
  <c r="O14" i="2"/>
  <c r="O89" i="2"/>
  <c r="O92" i="2"/>
  <c r="O95" i="2"/>
  <c r="O12" i="2"/>
  <c r="O28" i="2"/>
  <c r="O33" i="2"/>
  <c r="O40" i="2"/>
  <c r="O45" i="2"/>
  <c r="O52" i="2"/>
  <c r="O78" i="2"/>
  <c r="O85" i="2"/>
  <c r="O106" i="2"/>
  <c r="O112" i="2"/>
  <c r="O114" i="2"/>
  <c r="O118" i="2"/>
  <c r="O125" i="2"/>
  <c r="O132" i="2"/>
  <c r="O134" i="2"/>
  <c r="O141" i="2"/>
  <c r="O50" i="2"/>
  <c r="O57" i="2"/>
  <c r="O64" i="2"/>
  <c r="O6" i="2"/>
  <c r="O26" i="2"/>
  <c r="O29" i="2"/>
  <c r="O36" i="2"/>
  <c r="O62" i="2"/>
  <c r="O69" i="2"/>
  <c r="O74" i="2"/>
  <c r="O76" i="2"/>
  <c r="O81" i="2"/>
  <c r="O86" i="2"/>
  <c r="O88" i="2"/>
  <c r="O90" i="2"/>
  <c r="O96" i="2"/>
  <c r="O120" i="2"/>
  <c r="O122" i="2"/>
  <c r="O129" i="2"/>
  <c r="O136" i="2"/>
  <c r="O138" i="2"/>
  <c r="O145" i="2"/>
  <c r="O148" i="2"/>
  <c r="O171" i="2"/>
  <c r="O174" i="2"/>
  <c r="O177" i="2"/>
  <c r="O10" i="2"/>
  <c r="O20" i="2"/>
  <c r="O34" i="2"/>
  <c r="O48" i="2"/>
  <c r="O131" i="2"/>
  <c r="O159" i="2"/>
  <c r="O21" i="2"/>
  <c r="O32" i="2"/>
  <c r="O82" i="2"/>
  <c r="O101" i="2"/>
  <c r="O103" i="2"/>
  <c r="O105" i="2"/>
  <c r="O107" i="2"/>
  <c r="O111" i="2"/>
  <c r="O119" i="2"/>
  <c r="O135" i="2"/>
  <c r="O167" i="2"/>
  <c r="O170" i="2"/>
  <c r="O173" i="2"/>
  <c r="O176" i="2"/>
  <c r="O25" i="2"/>
  <c r="O44" i="2"/>
  <c r="O70" i="2"/>
  <c r="O123" i="2"/>
  <c r="O17" i="2"/>
  <c r="O58" i="2"/>
  <c r="O18" i="2"/>
  <c r="O46" i="2"/>
  <c r="O65" i="2"/>
  <c r="O84" i="2"/>
  <c r="O109" i="2"/>
  <c r="O117" i="2"/>
  <c r="O124" i="2"/>
  <c r="O142" i="2"/>
  <c r="O175" i="2"/>
  <c r="O179" i="2"/>
  <c r="O53" i="2"/>
  <c r="O72" i="2"/>
  <c r="O93" i="2"/>
  <c r="O121" i="2"/>
  <c r="O128" i="2"/>
  <c r="O155" i="2"/>
  <c r="O158" i="2"/>
  <c r="O161" i="2"/>
  <c r="O163" i="2"/>
  <c r="O165" i="2"/>
  <c r="O169" i="2"/>
  <c r="O185" i="2"/>
  <c r="O189" i="2"/>
  <c r="O193" i="2"/>
  <c r="O197" i="2"/>
  <c r="O201" i="2"/>
  <c r="O205" i="2"/>
  <c r="O209" i="2"/>
  <c r="O213" i="2"/>
  <c r="O217" i="2"/>
  <c r="O221" i="2"/>
  <c r="O225" i="2"/>
  <c r="O229" i="2"/>
  <c r="O233" i="2"/>
  <c r="O237" i="2"/>
  <c r="O42" i="2"/>
  <c r="O61" i="2"/>
  <c r="O73" i="2"/>
  <c r="O94" i="2"/>
  <c r="O98" i="2"/>
  <c r="O102" i="2"/>
  <c r="O143" i="2"/>
  <c r="O184" i="2"/>
  <c r="O188" i="2"/>
  <c r="O192" i="2"/>
  <c r="O196" i="2"/>
  <c r="O200" i="2"/>
  <c r="O204" i="2"/>
  <c r="O208" i="2"/>
  <c r="O212" i="2"/>
  <c r="O216" i="2"/>
  <c r="O220" i="2"/>
  <c r="O224" i="2"/>
  <c r="O228" i="2"/>
  <c r="O232" i="2"/>
  <c r="O236" i="2"/>
  <c r="O240" i="2"/>
  <c r="O49" i="2"/>
  <c r="O77" i="2"/>
  <c r="O104" i="2"/>
  <c r="O127" i="2"/>
  <c r="O154" i="2"/>
  <c r="O160" i="2"/>
  <c r="O186" i="2"/>
  <c r="O194" i="2"/>
  <c r="O202" i="2"/>
  <c r="O210" i="2"/>
  <c r="O218" i="2"/>
  <c r="O226" i="2"/>
  <c r="O234" i="2"/>
  <c r="O239" i="2"/>
  <c r="O241" i="2"/>
  <c r="O66" i="2"/>
  <c r="O149" i="2"/>
  <c r="O181" i="2"/>
  <c r="O244" i="2"/>
  <c r="O248" i="2"/>
  <c r="O252" i="2"/>
  <c r="O256" i="2"/>
  <c r="O260" i="2"/>
  <c r="O264" i="2"/>
  <c r="O268" i="2"/>
  <c r="O272" i="2"/>
  <c r="O276" i="2"/>
  <c r="O280" i="2"/>
  <c r="O54" i="2"/>
  <c r="O68" i="2"/>
  <c r="O80" i="2"/>
  <c r="O115" i="2"/>
  <c r="O150" i="2"/>
  <c r="O156" i="2"/>
  <c r="O4" i="2"/>
  <c r="O108" i="2"/>
  <c r="O151" i="2"/>
  <c r="O182" i="2"/>
  <c r="O190" i="2"/>
  <c r="O206" i="2"/>
  <c r="O222" i="2"/>
  <c r="O37" i="2"/>
  <c r="O91" i="2"/>
  <c r="O99" i="2"/>
  <c r="O130" i="2"/>
  <c r="O137" i="2"/>
  <c r="O144" i="2"/>
  <c r="O162" i="2"/>
  <c r="O166" i="2"/>
  <c r="O187" i="2"/>
  <c r="O203" i="2"/>
  <c r="O211" i="2"/>
  <c r="O219" i="2"/>
  <c r="O227" i="2"/>
  <c r="O235" i="2"/>
  <c r="O243" i="2"/>
  <c r="O247" i="2"/>
  <c r="O251" i="2"/>
  <c r="O255" i="2"/>
  <c r="O259" i="2"/>
  <c r="O263" i="2"/>
  <c r="O267" i="2"/>
  <c r="O271" i="2"/>
  <c r="O275" i="2"/>
  <c r="O279" i="2"/>
  <c r="O56" i="2"/>
  <c r="O100" i="2"/>
  <c r="O157" i="2"/>
  <c r="O198" i="2"/>
  <c r="O214" i="2"/>
  <c r="O230" i="2"/>
  <c r="O60" i="2"/>
  <c r="O139" i="2"/>
  <c r="O146" i="2"/>
  <c r="O152" i="2"/>
  <c r="O238" i="2"/>
  <c r="O242" i="2"/>
  <c r="O246" i="2"/>
  <c r="O250" i="2"/>
  <c r="O254" i="2"/>
  <c r="O258" i="2"/>
  <c r="O262" i="2"/>
  <c r="O266" i="2"/>
  <c r="O270" i="2"/>
  <c r="O274" i="2"/>
  <c r="O278" i="2"/>
  <c r="O282" i="2"/>
  <c r="O126" i="2"/>
  <c r="O133" i="2"/>
  <c r="O140" i="2"/>
  <c r="O147" i="2"/>
  <c r="O30" i="2"/>
  <c r="O191" i="2"/>
  <c r="O277" i="2"/>
  <c r="O253" i="2"/>
  <c r="O265" i="2"/>
  <c r="O207" i="2"/>
  <c r="O257" i="2"/>
  <c r="O168" i="2"/>
  <c r="O215" i="2"/>
  <c r="O249" i="2"/>
  <c r="O273" i="2"/>
  <c r="O183" i="2"/>
  <c r="O245" i="2"/>
  <c r="O281" i="2"/>
  <c r="O231" i="2"/>
  <c r="O172" i="2"/>
  <c r="O261" i="2"/>
  <c r="O180" i="2"/>
  <c r="O223" i="2"/>
  <c r="O164" i="2"/>
  <c r="O199" i="2"/>
  <c r="O269" i="2"/>
  <c r="O22" i="22"/>
  <c r="G22" i="22"/>
  <c r="E22" i="22"/>
  <c r="K22" i="22"/>
  <c r="H20" i="17"/>
  <c r="K20" i="17"/>
  <c r="E20" i="17"/>
  <c r="L20" i="17"/>
  <c r="D20" i="17"/>
  <c r="I20" i="17"/>
  <c r="J20" i="17"/>
  <c r="N16" i="17"/>
  <c r="C20" i="17"/>
  <c r="N17" i="17"/>
  <c r="N18" i="17"/>
  <c r="F24" i="15"/>
  <c r="H24" i="15"/>
  <c r="G24" i="15"/>
  <c r="K20" i="15"/>
  <c r="D24" i="15"/>
  <c r="E24" i="15"/>
  <c r="K22" i="15"/>
  <c r="K21" i="15"/>
  <c r="I26" i="13"/>
  <c r="H26" i="13"/>
  <c r="F26" i="13"/>
  <c r="E26" i="13"/>
  <c r="G282" i="14" s="1"/>
  <c r="D26" i="13"/>
  <c r="L26" i="13"/>
  <c r="M26" i="13"/>
  <c r="G26" i="13"/>
  <c r="R20" i="22" l="1"/>
  <c r="I22" i="22"/>
  <c r="R18" i="22"/>
  <c r="R15" i="22"/>
  <c r="Q249" i="10" s="1"/>
  <c r="J22" i="22"/>
  <c r="H22" i="22"/>
  <c r="R19" i="24"/>
  <c r="N22" i="22"/>
  <c r="L22" i="22"/>
  <c r="H19" i="24"/>
  <c r="K22" i="16"/>
  <c r="K39" i="16"/>
  <c r="K272" i="16"/>
  <c r="K236" i="16"/>
  <c r="K142" i="16"/>
  <c r="K174" i="16"/>
  <c r="K245" i="16"/>
  <c r="K145" i="16"/>
  <c r="K164" i="16"/>
  <c r="K66" i="16"/>
  <c r="K253" i="16"/>
  <c r="K68" i="16"/>
  <c r="K133" i="16"/>
  <c r="K102" i="16"/>
  <c r="K165" i="16"/>
  <c r="K76" i="16"/>
  <c r="K126" i="16"/>
  <c r="K248" i="16"/>
  <c r="K251" i="16"/>
  <c r="K94" i="16"/>
  <c r="K124" i="16"/>
  <c r="K259" i="16"/>
  <c r="K228" i="16"/>
  <c r="K52" i="16"/>
  <c r="K85" i="16"/>
  <c r="K40" i="16"/>
  <c r="K241" i="16"/>
  <c r="K233" i="16"/>
  <c r="K157" i="16"/>
  <c r="K130" i="16"/>
  <c r="K77" i="16"/>
  <c r="K32" i="16"/>
  <c r="K277" i="16"/>
  <c r="K111" i="16"/>
  <c r="K201" i="16"/>
  <c r="K181" i="16"/>
  <c r="K141" i="16"/>
  <c r="K131" i="16"/>
  <c r="K59" i="16"/>
  <c r="K172" i="16"/>
  <c r="K249" i="16"/>
  <c r="K239" i="16"/>
  <c r="K127" i="16"/>
  <c r="K51" i="16"/>
  <c r="K46" i="16"/>
  <c r="K226" i="16"/>
  <c r="K246" i="16"/>
  <c r="K231" i="16"/>
  <c r="K171" i="16"/>
  <c r="K80" i="16"/>
  <c r="K269" i="16"/>
  <c r="K221" i="16"/>
  <c r="K83" i="16"/>
  <c r="K150" i="16"/>
  <c r="K163" i="16"/>
  <c r="K72" i="16"/>
  <c r="K156" i="16"/>
  <c r="K256" i="16"/>
  <c r="K57" i="16"/>
  <c r="K97" i="16"/>
  <c r="K84" i="16"/>
  <c r="K47" i="16"/>
  <c r="F249" i="10"/>
  <c r="K25" i="16"/>
  <c r="K120" i="16"/>
  <c r="K113" i="16"/>
  <c r="K211" i="16"/>
  <c r="K90" i="16"/>
  <c r="K210" i="16"/>
  <c r="K250" i="16"/>
  <c r="K230" i="16"/>
  <c r="K225" i="16"/>
  <c r="K266" i="16"/>
  <c r="K257" i="16"/>
  <c r="K243" i="16"/>
  <c r="K220" i="16"/>
  <c r="K115" i="16"/>
  <c r="K132" i="16"/>
  <c r="K74" i="16"/>
  <c r="K128" i="16"/>
  <c r="K223" i="16"/>
  <c r="K159" i="16"/>
  <c r="K20" i="16"/>
  <c r="K105" i="16"/>
  <c r="K137" i="16"/>
  <c r="K14" i="16"/>
  <c r="K114" i="16"/>
  <c r="K155" i="16"/>
  <c r="K36" i="16"/>
  <c r="K69" i="16"/>
  <c r="K86" i="16"/>
  <c r="K103" i="16"/>
  <c r="K35" i="16"/>
  <c r="K64" i="16"/>
  <c r="K31" i="16"/>
  <c r="K24" i="16"/>
  <c r="K9" i="16"/>
  <c r="K200" i="16"/>
  <c r="K65" i="16"/>
  <c r="K273" i="16"/>
  <c r="K184" i="16"/>
  <c r="K208" i="16"/>
  <c r="K194" i="16"/>
  <c r="K227" i="16"/>
  <c r="K216" i="16"/>
  <c r="K240" i="16"/>
  <c r="K254" i="16"/>
  <c r="K195" i="16"/>
  <c r="K276" i="16"/>
  <c r="K212" i="16"/>
  <c r="K106" i="16"/>
  <c r="K129" i="16"/>
  <c r="K222" i="16"/>
  <c r="K279" i="16"/>
  <c r="K215" i="16"/>
  <c r="K151" i="16"/>
  <c r="K168" i="16"/>
  <c r="K89" i="16"/>
  <c r="K122" i="16"/>
  <c r="K170" i="16"/>
  <c r="K112" i="16"/>
  <c r="K147" i="16"/>
  <c r="K125" i="16"/>
  <c r="K61" i="16"/>
  <c r="K78" i="16"/>
  <c r="K95" i="16"/>
  <c r="K19" i="16"/>
  <c r="K44" i="16"/>
  <c r="K23" i="16"/>
  <c r="K235" i="16"/>
  <c r="K270" i="16"/>
  <c r="K238" i="16"/>
  <c r="K167" i="16"/>
  <c r="K261" i="16"/>
  <c r="K192" i="16"/>
  <c r="K158" i="16"/>
  <c r="K213" i="16"/>
  <c r="K193" i="16"/>
  <c r="K237" i="16"/>
  <c r="K218" i="16"/>
  <c r="K173" i="16"/>
  <c r="K268" i="16"/>
  <c r="K204" i="16"/>
  <c r="K81" i="16"/>
  <c r="K53" i="16"/>
  <c r="K214" i="16"/>
  <c r="K271" i="16"/>
  <c r="K207" i="16"/>
  <c r="K143" i="16"/>
  <c r="K160" i="16"/>
  <c r="K73" i="16"/>
  <c r="K118" i="16"/>
  <c r="K162" i="16"/>
  <c r="K91" i="16"/>
  <c r="K139" i="16"/>
  <c r="K117" i="16"/>
  <c r="K45" i="16"/>
  <c r="K70" i="16"/>
  <c r="K87" i="16"/>
  <c r="K5" i="16"/>
  <c r="K28" i="16"/>
  <c r="K15" i="16"/>
  <c r="K50" i="16"/>
  <c r="K280" i="16"/>
  <c r="K60" i="16"/>
  <c r="K219" i="16"/>
  <c r="K267" i="16"/>
  <c r="K258" i="16"/>
  <c r="K180" i="16"/>
  <c r="K21" i="16"/>
  <c r="K203" i="16"/>
  <c r="K176" i="16"/>
  <c r="K234" i="16"/>
  <c r="K281" i="16"/>
  <c r="K166" i="16"/>
  <c r="K260" i="16"/>
  <c r="K196" i="16"/>
  <c r="K205" i="16"/>
  <c r="K43" i="16"/>
  <c r="K198" i="16"/>
  <c r="K263" i="16"/>
  <c r="K199" i="16"/>
  <c r="K135" i="16"/>
  <c r="K152" i="16"/>
  <c r="K37" i="16"/>
  <c r="K107" i="16"/>
  <c r="K154" i="16"/>
  <c r="K75" i="16"/>
  <c r="K123" i="16"/>
  <c r="K109" i="16"/>
  <c r="K29" i="16"/>
  <c r="K62" i="16"/>
  <c r="K79" i="16"/>
  <c r="K104" i="16"/>
  <c r="K12" i="16"/>
  <c r="K7" i="16"/>
  <c r="K49" i="16"/>
  <c r="K42" i="16"/>
  <c r="K242" i="16"/>
  <c r="K282" i="16"/>
  <c r="K185" i="16"/>
  <c r="K224" i="16"/>
  <c r="K232" i="16"/>
  <c r="K140" i="16"/>
  <c r="K265" i="16"/>
  <c r="K187" i="16"/>
  <c r="K149" i="16"/>
  <c r="K202" i="16"/>
  <c r="K278" i="16"/>
  <c r="K148" i="16"/>
  <c r="K252" i="16"/>
  <c r="K188" i="16"/>
  <c r="K197" i="16"/>
  <c r="K30" i="16"/>
  <c r="K190" i="16"/>
  <c r="K255" i="16"/>
  <c r="K191" i="16"/>
  <c r="K121" i="16"/>
  <c r="K144" i="16"/>
  <c r="K169" i="16"/>
  <c r="K98" i="16"/>
  <c r="K146" i="16"/>
  <c r="K27" i="16"/>
  <c r="K119" i="16"/>
  <c r="K101" i="16"/>
  <c r="K13" i="16"/>
  <c r="K54" i="16"/>
  <c r="K71" i="16"/>
  <c r="K96" i="16"/>
  <c r="K6" i="16"/>
  <c r="K56" i="16"/>
  <c r="K209" i="16"/>
  <c r="K274" i="16"/>
  <c r="K134" i="16"/>
  <c r="K217" i="16"/>
  <c r="K229" i="16"/>
  <c r="K67" i="16"/>
  <c r="K262" i="16"/>
  <c r="K177" i="16"/>
  <c r="K108" i="16"/>
  <c r="K186" i="16"/>
  <c r="K275" i="16"/>
  <c r="K116" i="16"/>
  <c r="K244" i="16"/>
  <c r="K182" i="16"/>
  <c r="K189" i="16"/>
  <c r="K206" i="16"/>
  <c r="K183" i="16"/>
  <c r="K247" i="16"/>
  <c r="K175" i="16"/>
  <c r="K92" i="16"/>
  <c r="K136" i="16"/>
  <c r="K161" i="16"/>
  <c r="K82" i="16"/>
  <c r="K138" i="16"/>
  <c r="K179" i="16"/>
  <c r="K100" i="16"/>
  <c r="K93" i="16"/>
  <c r="K110" i="16"/>
  <c r="K38" i="16"/>
  <c r="K63" i="16"/>
  <c r="K88" i="16"/>
  <c r="K55" i="16"/>
  <c r="K48" i="16"/>
  <c r="K33" i="16"/>
  <c r="K26" i="16"/>
  <c r="N20" i="17"/>
  <c r="K24" i="15"/>
  <c r="N26" i="13"/>
  <c r="Q26" i="13" s="1"/>
  <c r="M59" i="2"/>
  <c r="M149" i="2"/>
  <c r="M48" i="2"/>
  <c r="M86" i="2"/>
  <c r="M46" i="2"/>
  <c r="M77" i="2"/>
  <c r="M104" i="2"/>
  <c r="M134" i="2"/>
  <c r="M124" i="2"/>
  <c r="M31" i="2"/>
  <c r="M116" i="2"/>
  <c r="M117" i="2"/>
  <c r="M106" i="2"/>
  <c r="M53" i="2"/>
  <c r="M5" i="2"/>
  <c r="N13" i="2"/>
  <c r="N38" i="2"/>
  <c r="M241" i="2"/>
  <c r="M168" i="2"/>
  <c r="M24" i="2"/>
  <c r="M242" i="2"/>
  <c r="M138" i="2"/>
  <c r="M279" i="2"/>
  <c r="M213" i="2"/>
  <c r="M207" i="2"/>
  <c r="M12" i="2"/>
  <c r="M139" i="2"/>
  <c r="M171" i="2"/>
  <c r="M160" i="2"/>
  <c r="M32" i="2"/>
  <c r="M109" i="2"/>
  <c r="M140" i="2"/>
  <c r="M65" i="2"/>
  <c r="M23" i="2"/>
  <c r="M127" i="2"/>
  <c r="M76" i="2"/>
  <c r="M95" i="2"/>
  <c r="M14" i="2"/>
  <c r="M141" i="2"/>
  <c r="M268" i="2"/>
  <c r="M164" i="2"/>
  <c r="M261" i="2"/>
  <c r="M225" i="2"/>
  <c r="M270" i="2"/>
  <c r="M238" i="2"/>
  <c r="M123" i="2"/>
  <c r="M162" i="2"/>
  <c r="M275" i="2"/>
  <c r="M243" i="2"/>
  <c r="M205" i="2"/>
  <c r="M235" i="2"/>
  <c r="M203" i="2"/>
  <c r="M172" i="2"/>
  <c r="M240" i="2"/>
  <c r="M208" i="2"/>
  <c r="M132" i="2"/>
  <c r="M167" i="2"/>
  <c r="M101" i="2"/>
  <c r="M157" i="2"/>
  <c r="M15" i="2"/>
  <c r="M61" i="2"/>
  <c r="M105" i="2"/>
  <c r="M133" i="2"/>
  <c r="M60" i="2"/>
  <c r="M9" i="2"/>
  <c r="M120" i="2"/>
  <c r="M71" i="2"/>
  <c r="M92" i="2"/>
  <c r="M58" i="2"/>
  <c r="M10" i="2"/>
  <c r="M202" i="2"/>
  <c r="M265" i="2"/>
  <c r="M274" i="2"/>
  <c r="M182" i="2"/>
  <c r="M247" i="2"/>
  <c r="M239" i="2"/>
  <c r="M174" i="2"/>
  <c r="M212" i="2"/>
  <c r="M121" i="2"/>
  <c r="M68" i="2"/>
  <c r="M70" i="2"/>
  <c r="P13" i="2"/>
  <c r="P38" i="2"/>
  <c r="M272" i="2"/>
  <c r="M260" i="2"/>
  <c r="M119" i="2"/>
  <c r="M257" i="2"/>
  <c r="M209" i="2"/>
  <c r="M266" i="2"/>
  <c r="M230" i="2"/>
  <c r="M56" i="2"/>
  <c r="M144" i="2"/>
  <c r="M271" i="2"/>
  <c r="M114" i="2"/>
  <c r="M197" i="2"/>
  <c r="M231" i="2"/>
  <c r="M199" i="2"/>
  <c r="M170" i="2"/>
  <c r="M236" i="2"/>
  <c r="M204" i="2"/>
  <c r="M125" i="2"/>
  <c r="M165" i="2"/>
  <c r="M93" i="2"/>
  <c r="M154" i="2"/>
  <c r="M155" i="2"/>
  <c r="M147" i="2"/>
  <c r="M84" i="2"/>
  <c r="M131" i="2"/>
  <c r="M55" i="2"/>
  <c r="M151" i="2"/>
  <c r="M110" i="2"/>
  <c r="M69" i="2"/>
  <c r="M89" i="2"/>
  <c r="M54" i="2"/>
  <c r="O38" i="2"/>
  <c r="O13" i="2"/>
  <c r="M226" i="2"/>
  <c r="M179" i="2"/>
  <c r="M259" i="2"/>
  <c r="M90" i="2"/>
  <c r="M30" i="2"/>
  <c r="M13" i="2"/>
  <c r="M38" i="2"/>
  <c r="M244" i="2"/>
  <c r="M277" i="2"/>
  <c r="M254" i="2"/>
  <c r="M217" i="2"/>
  <c r="M237" i="2"/>
  <c r="M219" i="2"/>
  <c r="M224" i="2"/>
  <c r="M47" i="2"/>
  <c r="M158" i="2"/>
  <c r="M112" i="2"/>
  <c r="M146" i="2"/>
  <c r="M115" i="2"/>
  <c r="M79" i="2"/>
  <c r="M143" i="2"/>
  <c r="M88" i="2"/>
  <c r="M103" i="2"/>
  <c r="M82" i="2"/>
  <c r="M26" i="2"/>
  <c r="M87" i="2"/>
  <c r="M218" i="2"/>
  <c r="M248" i="2"/>
  <c r="M273" i="2"/>
  <c r="M118" i="2"/>
  <c r="M282" i="2"/>
  <c r="M250" i="2"/>
  <c r="M198" i="2"/>
  <c r="M201" i="2"/>
  <c r="M91" i="2"/>
  <c r="M255" i="2"/>
  <c r="M229" i="2"/>
  <c r="M169" i="2"/>
  <c r="M215" i="2"/>
  <c r="M180" i="2"/>
  <c r="M80" i="2"/>
  <c r="M220" i="2"/>
  <c r="M188" i="2"/>
  <c r="M28" i="2"/>
  <c r="M135" i="2"/>
  <c r="M39" i="2"/>
  <c r="M108" i="2"/>
  <c r="M130" i="2"/>
  <c r="M113" i="2"/>
  <c r="M156" i="2"/>
  <c r="M72" i="2"/>
  <c r="M36" i="2"/>
  <c r="M136" i="2"/>
  <c r="M83" i="2"/>
  <c r="M100" i="2"/>
  <c r="M78" i="2"/>
  <c r="M22" i="2"/>
  <c r="M264" i="2"/>
  <c r="M245" i="2"/>
  <c r="M206" i="2"/>
  <c r="M99" i="2"/>
  <c r="M173" i="2"/>
  <c r="M183" i="2"/>
  <c r="M192" i="2"/>
  <c r="M45" i="2"/>
  <c r="M43" i="2"/>
  <c r="L38" i="2"/>
  <c r="L13" i="2"/>
  <c r="M252" i="2"/>
  <c r="M63" i="2"/>
  <c r="M234" i="2"/>
  <c r="M269" i="2"/>
  <c r="M73" i="2"/>
  <c r="M278" i="2"/>
  <c r="M246" i="2"/>
  <c r="M190" i="2"/>
  <c r="M175" i="2"/>
  <c r="M37" i="2"/>
  <c r="M251" i="2"/>
  <c r="M221" i="2"/>
  <c r="M11" i="2"/>
  <c r="M211" i="2"/>
  <c r="M176" i="2"/>
  <c r="M49" i="2"/>
  <c r="M216" i="2"/>
  <c r="M184" i="2"/>
  <c r="M181" i="2"/>
  <c r="M128" i="2"/>
  <c r="M33" i="2"/>
  <c r="M51" i="2"/>
  <c r="M75" i="2"/>
  <c r="M111" i="2"/>
  <c r="M150" i="2"/>
  <c r="M67" i="2"/>
  <c r="M29" i="2"/>
  <c r="M129" i="2"/>
  <c r="M81" i="2"/>
  <c r="M98" i="2"/>
  <c r="M74" i="2"/>
  <c r="M18" i="2"/>
  <c r="K19" i="24"/>
  <c r="G19" i="24"/>
  <c r="M19" i="24"/>
  <c r="O19" i="24"/>
  <c r="F19" i="24"/>
  <c r="I19" i="24"/>
  <c r="Q19" i="24"/>
  <c r="N6" i="18"/>
  <c r="N10" i="18"/>
  <c r="N14" i="18"/>
  <c r="N18" i="18"/>
  <c r="N22" i="18"/>
  <c r="N26" i="18"/>
  <c r="N30" i="18"/>
  <c r="N38" i="18"/>
  <c r="N7" i="18"/>
  <c r="N9" i="18"/>
  <c r="N23" i="18"/>
  <c r="N24" i="18"/>
  <c r="N25" i="18"/>
  <c r="N39" i="18"/>
  <c r="N40" i="18"/>
  <c r="N47" i="18"/>
  <c r="N51" i="18"/>
  <c r="N55" i="18"/>
  <c r="N5" i="18"/>
  <c r="N19" i="18"/>
  <c r="N20" i="18"/>
  <c r="N21" i="18"/>
  <c r="N35" i="18"/>
  <c r="N36" i="18"/>
  <c r="N37" i="18"/>
  <c r="N42" i="18"/>
  <c r="N43" i="18"/>
  <c r="N44" i="18"/>
  <c r="N48" i="18"/>
  <c r="N52" i="18"/>
  <c r="N56" i="18"/>
  <c r="N60" i="18"/>
  <c r="N45" i="18"/>
  <c r="N53" i="18"/>
  <c r="N64" i="18"/>
  <c r="N68" i="18"/>
  <c r="N72" i="18"/>
  <c r="N76" i="18"/>
  <c r="N80" i="18"/>
  <c r="N84" i="18"/>
  <c r="N88" i="18"/>
  <c r="N92" i="18"/>
  <c r="N12" i="18"/>
  <c r="N27" i="18"/>
  <c r="N29" i="18"/>
  <c r="N50" i="18"/>
  <c r="N65" i="18"/>
  <c r="N69" i="18"/>
  <c r="N73" i="18"/>
  <c r="N77" i="18"/>
  <c r="N81" i="18"/>
  <c r="N85" i="18"/>
  <c r="N89" i="18"/>
  <c r="N93" i="18"/>
  <c r="N97" i="18"/>
  <c r="N101" i="18"/>
  <c r="N13" i="18"/>
  <c r="N28" i="18"/>
  <c r="N57" i="18"/>
  <c r="N62" i="18"/>
  <c r="N46" i="18"/>
  <c r="N54" i="18"/>
  <c r="N63" i="18"/>
  <c r="N67" i="18"/>
  <c r="N71" i="18"/>
  <c r="N75" i="18"/>
  <c r="N79" i="18"/>
  <c r="N83" i="18"/>
  <c r="N87" i="18"/>
  <c r="N91" i="18"/>
  <c r="N15" i="18"/>
  <c r="N32" i="18"/>
  <c r="N59" i="18"/>
  <c r="N70" i="18"/>
  <c r="N104" i="18"/>
  <c r="N108" i="18"/>
  <c r="N112" i="18"/>
  <c r="N116" i="18"/>
  <c r="N120" i="18"/>
  <c r="N124" i="18"/>
  <c r="N128" i="18"/>
  <c r="N132" i="18"/>
  <c r="N136" i="18"/>
  <c r="N33" i="18"/>
  <c r="N96" i="18"/>
  <c r="N105" i="18"/>
  <c r="N109" i="18"/>
  <c r="N113" i="18"/>
  <c r="N117" i="18"/>
  <c r="N121" i="18"/>
  <c r="N125" i="18"/>
  <c r="N129" i="18"/>
  <c r="N133" i="18"/>
  <c r="N137" i="18"/>
  <c r="N17" i="18"/>
  <c r="N90" i="18"/>
  <c r="N94" i="18"/>
  <c r="N98" i="18"/>
  <c r="N82" i="18"/>
  <c r="N100" i="18"/>
  <c r="N66" i="18"/>
  <c r="N95" i="18"/>
  <c r="N111" i="18"/>
  <c r="N119" i="18"/>
  <c r="N127" i="18"/>
  <c r="N135" i="18"/>
  <c r="N138" i="18"/>
  <c r="N141" i="18"/>
  <c r="N86" i="18"/>
  <c r="N110" i="18"/>
  <c r="N118" i="18"/>
  <c r="N126" i="18"/>
  <c r="N134" i="18"/>
  <c r="N143" i="18"/>
  <c r="N147" i="18"/>
  <c r="N151" i="18"/>
  <c r="N155" i="18"/>
  <c r="N78" i="18"/>
  <c r="N102" i="18"/>
  <c r="N107" i="18"/>
  <c r="N115" i="18"/>
  <c r="N123" i="18"/>
  <c r="N131" i="18"/>
  <c r="N114" i="18"/>
  <c r="N130" i="18"/>
  <c r="N139" i="18"/>
  <c r="N149" i="18"/>
  <c r="N156" i="18"/>
  <c r="N166" i="18"/>
  <c r="N175" i="18"/>
  <c r="N179" i="18"/>
  <c r="N183" i="18"/>
  <c r="N187" i="18"/>
  <c r="N191" i="18"/>
  <c r="N195" i="18"/>
  <c r="N199" i="18"/>
  <c r="N203" i="18"/>
  <c r="N207" i="18"/>
  <c r="N211" i="18"/>
  <c r="N215" i="18"/>
  <c r="N219" i="18"/>
  <c r="N146" i="18"/>
  <c r="N154" i="18"/>
  <c r="N157" i="18"/>
  <c r="N167" i="18"/>
  <c r="N168" i="18"/>
  <c r="N61" i="18"/>
  <c r="N148" i="18"/>
  <c r="N159" i="18"/>
  <c r="N160" i="18"/>
  <c r="N170" i="18"/>
  <c r="N49" i="18"/>
  <c r="N106" i="18"/>
  <c r="N122" i="18"/>
  <c r="N140" i="18"/>
  <c r="N145" i="18"/>
  <c r="N161" i="18"/>
  <c r="N171" i="18"/>
  <c r="N172" i="18"/>
  <c r="N177" i="18"/>
  <c r="N181" i="18"/>
  <c r="N185" i="18"/>
  <c r="N189" i="18"/>
  <c r="N193" i="18"/>
  <c r="N197" i="18"/>
  <c r="N158" i="18"/>
  <c r="N169" i="18"/>
  <c r="N176" i="18"/>
  <c r="N184" i="18"/>
  <c r="N192" i="18"/>
  <c r="N200" i="18"/>
  <c r="N204" i="18"/>
  <c r="N213" i="18"/>
  <c r="N218" i="18"/>
  <c r="N196" i="18"/>
  <c r="N142" i="18"/>
  <c r="N162" i="18"/>
  <c r="N173" i="18"/>
  <c r="N208" i="18"/>
  <c r="N217" i="18"/>
  <c r="N222" i="18"/>
  <c r="N223" i="18"/>
  <c r="N227" i="18"/>
  <c r="N231" i="18"/>
  <c r="N235" i="18"/>
  <c r="N239" i="18"/>
  <c r="N243" i="18"/>
  <c r="N247" i="18"/>
  <c r="N251" i="18"/>
  <c r="N255" i="18"/>
  <c r="N259" i="18"/>
  <c r="N263" i="18"/>
  <c r="N267" i="18"/>
  <c r="N271" i="18"/>
  <c r="N275" i="18"/>
  <c r="N279" i="18"/>
  <c r="N220" i="18"/>
  <c r="N164" i="18"/>
  <c r="N186" i="18"/>
  <c r="N194" i="18"/>
  <c r="N212" i="18"/>
  <c r="N221" i="18"/>
  <c r="N180" i="18"/>
  <c r="N202" i="18"/>
  <c r="N74" i="18"/>
  <c r="N152" i="18"/>
  <c r="N216" i="18"/>
  <c r="N224" i="18"/>
  <c r="N228" i="18"/>
  <c r="N232" i="18"/>
  <c r="N236" i="18"/>
  <c r="N240" i="18"/>
  <c r="N244" i="18"/>
  <c r="N248" i="18"/>
  <c r="N252" i="18"/>
  <c r="N256" i="18"/>
  <c r="N260" i="18"/>
  <c r="N268" i="18"/>
  <c r="N272" i="18"/>
  <c r="N276" i="18"/>
  <c r="N280" i="18"/>
  <c r="N188" i="18"/>
  <c r="N31" i="18"/>
  <c r="N205" i="18"/>
  <c r="N233" i="18"/>
  <c r="N254" i="18"/>
  <c r="N265" i="18"/>
  <c r="N206" i="18"/>
  <c r="N225" i="18"/>
  <c r="N246" i="18"/>
  <c r="N266" i="18"/>
  <c r="N230" i="18"/>
  <c r="N262" i="18"/>
  <c r="N198" i="18"/>
  <c r="N229" i="18"/>
  <c r="N250" i="18"/>
  <c r="N261" i="18"/>
  <c r="N163" i="18"/>
  <c r="N190" i="18"/>
  <c r="N209" i="18"/>
  <c r="N257" i="18"/>
  <c r="N201" i="18"/>
  <c r="N214" i="18"/>
  <c r="N277" i="18"/>
  <c r="N150" i="18"/>
  <c r="N226" i="18"/>
  <c r="N237" i="18"/>
  <c r="N258" i="18"/>
  <c r="N269" i="18"/>
  <c r="N144" i="18"/>
  <c r="N182" i="18"/>
  <c r="N242" i="18"/>
  <c r="N253" i="18"/>
  <c r="N274" i="18"/>
  <c r="N278" i="18"/>
  <c r="N249" i="18"/>
  <c r="N270" i="18"/>
  <c r="N234" i="18"/>
  <c r="N165" i="18"/>
  <c r="N241" i="18"/>
  <c r="N103" i="18"/>
  <c r="N174" i="18"/>
  <c r="N210" i="18"/>
  <c r="N238" i="18"/>
  <c r="N282" i="18"/>
  <c r="N245" i="18"/>
  <c r="N273" i="18"/>
  <c r="N281" i="18"/>
  <c r="J12" i="18"/>
  <c r="J20" i="18"/>
  <c r="J24" i="18"/>
  <c r="J28" i="18"/>
  <c r="J32" i="18"/>
  <c r="J36" i="18"/>
  <c r="J40" i="18"/>
  <c r="J17" i="18"/>
  <c r="J18" i="18"/>
  <c r="J19" i="18"/>
  <c r="J33" i="18"/>
  <c r="J35" i="18"/>
  <c r="J44" i="18"/>
  <c r="J45" i="18"/>
  <c r="J49" i="18"/>
  <c r="J53" i="18"/>
  <c r="J13" i="18"/>
  <c r="J14" i="18"/>
  <c r="J15" i="18"/>
  <c r="J29" i="18"/>
  <c r="J30" i="18"/>
  <c r="J31" i="18"/>
  <c r="J46" i="18"/>
  <c r="J50" i="18"/>
  <c r="J54" i="18"/>
  <c r="J62" i="18"/>
  <c r="J47" i="18"/>
  <c r="J55" i="18"/>
  <c r="J60" i="18"/>
  <c r="J66" i="18"/>
  <c r="J70" i="18"/>
  <c r="J74" i="18"/>
  <c r="J78" i="18"/>
  <c r="J82" i="18"/>
  <c r="J86" i="18"/>
  <c r="J90" i="18"/>
  <c r="J94" i="18"/>
  <c r="J6" i="18"/>
  <c r="J21" i="18"/>
  <c r="J23" i="18"/>
  <c r="J38" i="18"/>
  <c r="J42" i="18"/>
  <c r="J61" i="18"/>
  <c r="J52" i="18"/>
  <c r="J63" i="18"/>
  <c r="J67" i="18"/>
  <c r="J71" i="18"/>
  <c r="J75" i="18"/>
  <c r="J79" i="18"/>
  <c r="J83" i="18"/>
  <c r="J87" i="18"/>
  <c r="J91" i="18"/>
  <c r="J95" i="18"/>
  <c r="J103" i="18"/>
  <c r="J5" i="18"/>
  <c r="J7" i="18"/>
  <c r="J22" i="18"/>
  <c r="J37" i="18"/>
  <c r="J39" i="18"/>
  <c r="J43" i="18"/>
  <c r="J48" i="18"/>
  <c r="J56" i="18"/>
  <c r="J65" i="18"/>
  <c r="J69" i="18"/>
  <c r="J73" i="18"/>
  <c r="J77" i="18"/>
  <c r="J81" i="18"/>
  <c r="J85" i="18"/>
  <c r="J89" i="18"/>
  <c r="J93" i="18"/>
  <c r="J64" i="18"/>
  <c r="J98" i="18"/>
  <c r="J106" i="18"/>
  <c r="J110" i="18"/>
  <c r="J114" i="18"/>
  <c r="J118" i="18"/>
  <c r="J122" i="18"/>
  <c r="J126" i="18"/>
  <c r="J130" i="18"/>
  <c r="J134" i="18"/>
  <c r="J138" i="18"/>
  <c r="J10" i="18"/>
  <c r="J57" i="18"/>
  <c r="J88" i="18"/>
  <c r="J101" i="18"/>
  <c r="J107" i="18"/>
  <c r="J111" i="18"/>
  <c r="J115" i="18"/>
  <c r="J119" i="18"/>
  <c r="J123" i="18"/>
  <c r="J127" i="18"/>
  <c r="J131" i="18"/>
  <c r="J135" i="18"/>
  <c r="J84" i="18"/>
  <c r="J102" i="18"/>
  <c r="J76" i="18"/>
  <c r="J27" i="18"/>
  <c r="J92" i="18"/>
  <c r="J72" i="18"/>
  <c r="J96" i="18"/>
  <c r="J105" i="18"/>
  <c r="J113" i="18"/>
  <c r="J121" i="18"/>
  <c r="J129" i="18"/>
  <c r="J137" i="18"/>
  <c r="J104" i="18"/>
  <c r="J112" i="18"/>
  <c r="J120" i="18"/>
  <c r="J128" i="18"/>
  <c r="J136" i="18"/>
  <c r="J140" i="18"/>
  <c r="J145" i="18"/>
  <c r="J149" i="18"/>
  <c r="J9" i="18"/>
  <c r="J25" i="18"/>
  <c r="J109" i="18"/>
  <c r="J117" i="18"/>
  <c r="J125" i="18"/>
  <c r="J133" i="18"/>
  <c r="J139" i="18"/>
  <c r="J141" i="18"/>
  <c r="J108" i="18"/>
  <c r="J124" i="18"/>
  <c r="J143" i="18"/>
  <c r="J151" i="18"/>
  <c r="J160" i="18"/>
  <c r="J171" i="18"/>
  <c r="J177" i="18"/>
  <c r="J181" i="18"/>
  <c r="J185" i="18"/>
  <c r="J189" i="18"/>
  <c r="J193" i="18"/>
  <c r="J197" i="18"/>
  <c r="J201" i="18"/>
  <c r="J205" i="18"/>
  <c r="J209" i="18"/>
  <c r="J213" i="18"/>
  <c r="J217" i="18"/>
  <c r="J221" i="18"/>
  <c r="J59" i="18"/>
  <c r="J68" i="18"/>
  <c r="J148" i="18"/>
  <c r="J161" i="18"/>
  <c r="J162" i="18"/>
  <c r="J172" i="18"/>
  <c r="J26" i="18"/>
  <c r="J142" i="18"/>
  <c r="J150" i="18"/>
  <c r="J164" i="18"/>
  <c r="J80" i="18"/>
  <c r="J116" i="18"/>
  <c r="J132" i="18"/>
  <c r="J147" i="18"/>
  <c r="J165" i="18"/>
  <c r="J166" i="18"/>
  <c r="J175" i="18"/>
  <c r="J179" i="18"/>
  <c r="J183" i="18"/>
  <c r="J187" i="18"/>
  <c r="J191" i="18"/>
  <c r="J195" i="18"/>
  <c r="J199" i="18"/>
  <c r="J173" i="18"/>
  <c r="J186" i="18"/>
  <c r="J194" i="18"/>
  <c r="J207" i="18"/>
  <c r="J212" i="18"/>
  <c r="J163" i="18"/>
  <c r="J190" i="18"/>
  <c r="J51" i="18"/>
  <c r="J152" i="18"/>
  <c r="J155" i="18"/>
  <c r="J202" i="18"/>
  <c r="J211" i="18"/>
  <c r="J216" i="18"/>
  <c r="J225" i="18"/>
  <c r="J229" i="18"/>
  <c r="J233" i="18"/>
  <c r="J237" i="18"/>
  <c r="J241" i="18"/>
  <c r="J245" i="18"/>
  <c r="J249" i="18"/>
  <c r="J253" i="18"/>
  <c r="J257" i="18"/>
  <c r="J261" i="18"/>
  <c r="J265" i="18"/>
  <c r="J269" i="18"/>
  <c r="J273" i="18"/>
  <c r="J277" i="18"/>
  <c r="J281" i="18"/>
  <c r="J100" i="18"/>
  <c r="J157" i="18"/>
  <c r="J168" i="18"/>
  <c r="J180" i="18"/>
  <c r="J188" i="18"/>
  <c r="J196" i="18"/>
  <c r="J206" i="18"/>
  <c r="J215" i="18"/>
  <c r="J220" i="18"/>
  <c r="J174" i="18"/>
  <c r="J198" i="18"/>
  <c r="J214" i="18"/>
  <c r="J146" i="18"/>
  <c r="J159" i="18"/>
  <c r="J170" i="18"/>
  <c r="J210" i="18"/>
  <c r="J219" i="18"/>
  <c r="J226" i="18"/>
  <c r="J230" i="18"/>
  <c r="J234" i="18"/>
  <c r="J238" i="18"/>
  <c r="J242" i="18"/>
  <c r="J246" i="18"/>
  <c r="J250" i="18"/>
  <c r="J254" i="18"/>
  <c r="J258" i="18"/>
  <c r="J262" i="18"/>
  <c r="J266" i="18"/>
  <c r="J270" i="18"/>
  <c r="J274" i="18"/>
  <c r="J278" i="18"/>
  <c r="J282" i="18"/>
  <c r="J182" i="18"/>
  <c r="J227" i="18"/>
  <c r="J248" i="18"/>
  <c r="J259" i="18"/>
  <c r="J251" i="18"/>
  <c r="J272" i="18"/>
  <c r="J280" i="18"/>
  <c r="J192" i="18"/>
  <c r="J204" i="18"/>
  <c r="J218" i="18"/>
  <c r="J260" i="18"/>
  <c r="J256" i="18"/>
  <c r="J144" i="18"/>
  <c r="J158" i="18"/>
  <c r="J223" i="18"/>
  <c r="J244" i="18"/>
  <c r="J255" i="18"/>
  <c r="J276" i="18"/>
  <c r="J240" i="18"/>
  <c r="J156" i="18"/>
  <c r="J239" i="18"/>
  <c r="J184" i="18"/>
  <c r="J176" i="18"/>
  <c r="J208" i="18"/>
  <c r="J222" i="18"/>
  <c r="J231" i="18"/>
  <c r="J263" i="18"/>
  <c r="J97" i="18"/>
  <c r="J203" i="18"/>
  <c r="J236" i="18"/>
  <c r="J247" i="18"/>
  <c r="J268" i="18"/>
  <c r="J200" i="18"/>
  <c r="J232" i="18"/>
  <c r="J243" i="18"/>
  <c r="J275" i="18"/>
  <c r="J267" i="18"/>
  <c r="J252" i="18"/>
  <c r="J154" i="18"/>
  <c r="J169" i="18"/>
  <c r="J279" i="18"/>
  <c r="J228" i="18"/>
  <c r="J271" i="18"/>
  <c r="J224" i="18"/>
  <c r="J235" i="18"/>
  <c r="J167" i="18"/>
  <c r="G6" i="18"/>
  <c r="G10" i="18"/>
  <c r="G14" i="18"/>
  <c r="G18" i="18"/>
  <c r="G22" i="18"/>
  <c r="G26" i="18"/>
  <c r="G30" i="18"/>
  <c r="G38" i="18"/>
  <c r="G42" i="18"/>
  <c r="G46" i="18"/>
  <c r="G50" i="18"/>
  <c r="G54" i="18"/>
  <c r="G12" i="18"/>
  <c r="G13" i="18"/>
  <c r="G27" i="18"/>
  <c r="G28" i="18"/>
  <c r="G29" i="18"/>
  <c r="G47" i="18"/>
  <c r="G51" i="18"/>
  <c r="G55" i="18"/>
  <c r="G59" i="18"/>
  <c r="G7" i="18"/>
  <c r="G9" i="18"/>
  <c r="G23" i="18"/>
  <c r="G24" i="18"/>
  <c r="G25" i="18"/>
  <c r="G39" i="18"/>
  <c r="G40" i="18"/>
  <c r="G19" i="18"/>
  <c r="G21" i="18"/>
  <c r="G36" i="18"/>
  <c r="G44" i="18"/>
  <c r="G63" i="18"/>
  <c r="G49" i="18"/>
  <c r="G57" i="18"/>
  <c r="G64" i="18"/>
  <c r="G68" i="18"/>
  <c r="G72" i="18"/>
  <c r="G76" i="18"/>
  <c r="G80" i="18"/>
  <c r="G84" i="18"/>
  <c r="G88" i="18"/>
  <c r="G92" i="18"/>
  <c r="G15" i="18"/>
  <c r="G17" i="18"/>
  <c r="G32" i="18"/>
  <c r="G45" i="18"/>
  <c r="G53" i="18"/>
  <c r="G60" i="18"/>
  <c r="G66" i="18"/>
  <c r="G70" i="18"/>
  <c r="G74" i="18"/>
  <c r="G78" i="18"/>
  <c r="G82" i="18"/>
  <c r="G86" i="18"/>
  <c r="G90" i="18"/>
  <c r="G31" i="18"/>
  <c r="G33" i="18"/>
  <c r="G61" i="18"/>
  <c r="G48" i="18"/>
  <c r="G52" i="18"/>
  <c r="G62" i="18"/>
  <c r="G73" i="18"/>
  <c r="G75" i="18"/>
  <c r="G94" i="18"/>
  <c r="G102" i="18"/>
  <c r="G5" i="18"/>
  <c r="G65" i="18"/>
  <c r="G67" i="18"/>
  <c r="G104" i="18"/>
  <c r="G93" i="18"/>
  <c r="G105" i="18"/>
  <c r="G109" i="18"/>
  <c r="G113" i="18"/>
  <c r="G117" i="18"/>
  <c r="G121" i="18"/>
  <c r="G125" i="18"/>
  <c r="G129" i="18"/>
  <c r="G133" i="18"/>
  <c r="G137" i="18"/>
  <c r="G141" i="18"/>
  <c r="G85" i="18"/>
  <c r="G87" i="18"/>
  <c r="G95" i="18"/>
  <c r="G98" i="18"/>
  <c r="G106" i="18"/>
  <c r="G110" i="18"/>
  <c r="G114" i="18"/>
  <c r="G118" i="18"/>
  <c r="G122" i="18"/>
  <c r="G126" i="18"/>
  <c r="G130" i="18"/>
  <c r="G134" i="18"/>
  <c r="G138" i="18"/>
  <c r="G71" i="18"/>
  <c r="G103" i="18"/>
  <c r="G108" i="18"/>
  <c r="G116" i="18"/>
  <c r="G124" i="18"/>
  <c r="G132" i="18"/>
  <c r="G144" i="18"/>
  <c r="G148" i="18"/>
  <c r="G152" i="18"/>
  <c r="G81" i="18"/>
  <c r="G145" i="18"/>
  <c r="G149" i="18"/>
  <c r="G35" i="18"/>
  <c r="G91" i="18"/>
  <c r="G97" i="18"/>
  <c r="G83" i="18"/>
  <c r="G143" i="18"/>
  <c r="G147" i="18"/>
  <c r="G151" i="18"/>
  <c r="G155" i="18"/>
  <c r="G159" i="18"/>
  <c r="G163" i="18"/>
  <c r="G167" i="18"/>
  <c r="G171" i="18"/>
  <c r="G164" i="18"/>
  <c r="G174" i="18"/>
  <c r="G43" i="18"/>
  <c r="G77" i="18"/>
  <c r="G115" i="18"/>
  <c r="G131" i="18"/>
  <c r="G140" i="18"/>
  <c r="G165" i="18"/>
  <c r="G175" i="18"/>
  <c r="G179" i="18"/>
  <c r="G183" i="18"/>
  <c r="G187" i="18"/>
  <c r="G191" i="18"/>
  <c r="G195" i="18"/>
  <c r="G199" i="18"/>
  <c r="G203" i="18"/>
  <c r="G207" i="18"/>
  <c r="G211" i="18"/>
  <c r="G215" i="18"/>
  <c r="G219" i="18"/>
  <c r="G223" i="18"/>
  <c r="G79" i="18"/>
  <c r="G119" i="18"/>
  <c r="G135" i="18"/>
  <c r="G157" i="18"/>
  <c r="G168" i="18"/>
  <c r="G176" i="18"/>
  <c r="G180" i="18"/>
  <c r="G184" i="18"/>
  <c r="G188" i="18"/>
  <c r="G192" i="18"/>
  <c r="G196" i="18"/>
  <c r="G200" i="18"/>
  <c r="G204" i="18"/>
  <c r="G208" i="18"/>
  <c r="G212" i="18"/>
  <c r="G216" i="18"/>
  <c r="G220" i="18"/>
  <c r="G89" i="18"/>
  <c r="G96" i="18"/>
  <c r="G158" i="18"/>
  <c r="G169" i="18"/>
  <c r="G69" i="18"/>
  <c r="G112" i="18"/>
  <c r="G142" i="18"/>
  <c r="G166" i="18"/>
  <c r="G202" i="18"/>
  <c r="G226" i="18"/>
  <c r="G230" i="18"/>
  <c r="G234" i="18"/>
  <c r="G238" i="18"/>
  <c r="G242" i="18"/>
  <c r="G246" i="18"/>
  <c r="G250" i="18"/>
  <c r="G254" i="18"/>
  <c r="G258" i="18"/>
  <c r="G262" i="18"/>
  <c r="G266" i="18"/>
  <c r="G270" i="18"/>
  <c r="G274" i="18"/>
  <c r="G278" i="18"/>
  <c r="G282" i="18"/>
  <c r="G20" i="18"/>
  <c r="G213" i="18"/>
  <c r="G224" i="18"/>
  <c r="G240" i="18"/>
  <c r="G248" i="18"/>
  <c r="G252" i="18"/>
  <c r="G272" i="18"/>
  <c r="G100" i="18"/>
  <c r="G107" i="18"/>
  <c r="G170" i="18"/>
  <c r="G177" i="18"/>
  <c r="G185" i="18"/>
  <c r="G193" i="18"/>
  <c r="G201" i="18"/>
  <c r="G206" i="18"/>
  <c r="G128" i="18"/>
  <c r="G156" i="18"/>
  <c r="G256" i="18"/>
  <c r="G276" i="18"/>
  <c r="G120" i="18"/>
  <c r="G139" i="18"/>
  <c r="G146" i="18"/>
  <c r="G161" i="18"/>
  <c r="G172" i="18"/>
  <c r="G205" i="18"/>
  <c r="G210" i="18"/>
  <c r="G227" i="18"/>
  <c r="G231" i="18"/>
  <c r="G235" i="18"/>
  <c r="G239" i="18"/>
  <c r="G243" i="18"/>
  <c r="G247" i="18"/>
  <c r="G251" i="18"/>
  <c r="G255" i="18"/>
  <c r="G259" i="18"/>
  <c r="G263" i="18"/>
  <c r="G267" i="18"/>
  <c r="G271" i="18"/>
  <c r="G275" i="18"/>
  <c r="G279" i="18"/>
  <c r="G232" i="18"/>
  <c r="G244" i="18"/>
  <c r="G260" i="18"/>
  <c r="G268" i="18"/>
  <c r="G56" i="18"/>
  <c r="G101" i="18"/>
  <c r="G127" i="18"/>
  <c r="G182" i="18"/>
  <c r="G190" i="18"/>
  <c r="G198" i="18"/>
  <c r="G209" i="18"/>
  <c r="G214" i="18"/>
  <c r="G150" i="18"/>
  <c r="G218" i="18"/>
  <c r="G228" i="18"/>
  <c r="G236" i="18"/>
  <c r="G162" i="18"/>
  <c r="G225" i="18"/>
  <c r="G257" i="18"/>
  <c r="G186" i="18"/>
  <c r="G123" i="18"/>
  <c r="G222" i="18"/>
  <c r="G111" i="18"/>
  <c r="G194" i="18"/>
  <c r="G253" i="18"/>
  <c r="G37" i="18"/>
  <c r="G173" i="18"/>
  <c r="G217" i="18"/>
  <c r="G249" i="18"/>
  <c r="G269" i="18"/>
  <c r="G154" i="18"/>
  <c r="G160" i="18"/>
  <c r="G245" i="18"/>
  <c r="G221" i="18"/>
  <c r="G277" i="18"/>
  <c r="G281" i="18"/>
  <c r="G189" i="18"/>
  <c r="G233" i="18"/>
  <c r="G261" i="18"/>
  <c r="G280" i="18"/>
  <c r="G136" i="18"/>
  <c r="G241" i="18"/>
  <c r="G273" i="18"/>
  <c r="G197" i="18"/>
  <c r="G237" i="18"/>
  <c r="G265" i="18"/>
  <c r="G181" i="18"/>
  <c r="G229" i="18"/>
  <c r="L7" i="18"/>
  <c r="L15" i="18"/>
  <c r="L19" i="18"/>
  <c r="L23" i="18"/>
  <c r="L27" i="18"/>
  <c r="L31" i="18"/>
  <c r="L35" i="18"/>
  <c r="L39" i="18"/>
  <c r="L5" i="18"/>
  <c r="L6" i="18"/>
  <c r="L20" i="18"/>
  <c r="L21" i="18"/>
  <c r="L22" i="18"/>
  <c r="L36" i="18"/>
  <c r="L37" i="18"/>
  <c r="L38" i="18"/>
  <c r="L42" i="18"/>
  <c r="L43" i="18"/>
  <c r="L44" i="18"/>
  <c r="L48" i="18"/>
  <c r="L52" i="18"/>
  <c r="L56" i="18"/>
  <c r="L17" i="18"/>
  <c r="L18" i="18"/>
  <c r="L32" i="18"/>
  <c r="L33" i="18"/>
  <c r="L45" i="18"/>
  <c r="L49" i="18"/>
  <c r="L53" i="18"/>
  <c r="L57" i="18"/>
  <c r="L61" i="18"/>
  <c r="L50" i="18"/>
  <c r="L65" i="18"/>
  <c r="L69" i="18"/>
  <c r="L73" i="18"/>
  <c r="L77" i="18"/>
  <c r="L81" i="18"/>
  <c r="L85" i="18"/>
  <c r="L89" i="18"/>
  <c r="L93" i="18"/>
  <c r="L10" i="18"/>
  <c r="L25" i="18"/>
  <c r="L40" i="18"/>
  <c r="L59" i="18"/>
  <c r="L47" i="18"/>
  <c r="L55" i="18"/>
  <c r="L60" i="18"/>
  <c r="L66" i="18"/>
  <c r="L70" i="18"/>
  <c r="L74" i="18"/>
  <c r="L78" i="18"/>
  <c r="L82" i="18"/>
  <c r="L86" i="18"/>
  <c r="L90" i="18"/>
  <c r="L94" i="18"/>
  <c r="L98" i="18"/>
  <c r="L102" i="18"/>
  <c r="L9" i="18"/>
  <c r="L24" i="18"/>
  <c r="L26" i="18"/>
  <c r="L51" i="18"/>
  <c r="L64" i="18"/>
  <c r="L68" i="18"/>
  <c r="L72" i="18"/>
  <c r="L76" i="18"/>
  <c r="L80" i="18"/>
  <c r="L84" i="18"/>
  <c r="L88" i="18"/>
  <c r="L92" i="18"/>
  <c r="L83" i="18"/>
  <c r="L96" i="18"/>
  <c r="L105" i="18"/>
  <c r="L109" i="18"/>
  <c r="L113" i="18"/>
  <c r="L117" i="18"/>
  <c r="L121" i="18"/>
  <c r="L125" i="18"/>
  <c r="L129" i="18"/>
  <c r="L133" i="18"/>
  <c r="L137" i="18"/>
  <c r="L28" i="18"/>
  <c r="L75" i="18"/>
  <c r="L106" i="18"/>
  <c r="L110" i="18"/>
  <c r="L114" i="18"/>
  <c r="L118" i="18"/>
  <c r="L122" i="18"/>
  <c r="L126" i="18"/>
  <c r="L130" i="18"/>
  <c r="L134" i="18"/>
  <c r="L71" i="18"/>
  <c r="L100" i="18"/>
  <c r="L13" i="18"/>
  <c r="L30" i="18"/>
  <c r="L54" i="18"/>
  <c r="L63" i="18"/>
  <c r="L103" i="18"/>
  <c r="L62" i="18"/>
  <c r="L79" i="18"/>
  <c r="L97" i="18"/>
  <c r="L141" i="18"/>
  <c r="L108" i="18"/>
  <c r="L116" i="18"/>
  <c r="L124" i="18"/>
  <c r="L132" i="18"/>
  <c r="L107" i="18"/>
  <c r="L115" i="18"/>
  <c r="L123" i="18"/>
  <c r="L131" i="18"/>
  <c r="L144" i="18"/>
  <c r="L148" i="18"/>
  <c r="L152" i="18"/>
  <c r="L46" i="18"/>
  <c r="L91" i="18"/>
  <c r="L104" i="18"/>
  <c r="L112" i="18"/>
  <c r="L120" i="18"/>
  <c r="L128" i="18"/>
  <c r="L136" i="18"/>
  <c r="L14" i="18"/>
  <c r="L67" i="18"/>
  <c r="L101" i="18"/>
  <c r="L111" i="18"/>
  <c r="L127" i="18"/>
  <c r="L146" i="18"/>
  <c r="L154" i="18"/>
  <c r="L158" i="18"/>
  <c r="L168" i="18"/>
  <c r="L169" i="18"/>
  <c r="L176" i="18"/>
  <c r="L180" i="18"/>
  <c r="L184" i="18"/>
  <c r="L188" i="18"/>
  <c r="L192" i="18"/>
  <c r="L196" i="18"/>
  <c r="L200" i="18"/>
  <c r="L204" i="18"/>
  <c r="L208" i="18"/>
  <c r="L212" i="18"/>
  <c r="L216" i="18"/>
  <c r="L220" i="18"/>
  <c r="L143" i="18"/>
  <c r="L151" i="18"/>
  <c r="L159" i="18"/>
  <c r="L170" i="18"/>
  <c r="L87" i="18"/>
  <c r="L95" i="18"/>
  <c r="L140" i="18"/>
  <c r="L145" i="18"/>
  <c r="L162" i="18"/>
  <c r="L172" i="18"/>
  <c r="L173" i="18"/>
  <c r="L29" i="18"/>
  <c r="L119" i="18"/>
  <c r="L135" i="18"/>
  <c r="L138" i="18"/>
  <c r="L142" i="18"/>
  <c r="L150" i="18"/>
  <c r="L163" i="18"/>
  <c r="L174" i="18"/>
  <c r="L182" i="18"/>
  <c r="L186" i="18"/>
  <c r="L190" i="18"/>
  <c r="L194" i="18"/>
  <c r="L198" i="18"/>
  <c r="L160" i="18"/>
  <c r="L171" i="18"/>
  <c r="L181" i="18"/>
  <c r="L189" i="18"/>
  <c r="L197" i="18"/>
  <c r="L217" i="18"/>
  <c r="L185" i="18"/>
  <c r="L164" i="18"/>
  <c r="L203" i="18"/>
  <c r="L221" i="18"/>
  <c r="L224" i="18"/>
  <c r="L228" i="18"/>
  <c r="L232" i="18"/>
  <c r="L236" i="18"/>
  <c r="L240" i="18"/>
  <c r="L244" i="18"/>
  <c r="L248" i="18"/>
  <c r="L252" i="18"/>
  <c r="L256" i="18"/>
  <c r="L260" i="18"/>
  <c r="L268" i="18"/>
  <c r="L272" i="18"/>
  <c r="L276" i="18"/>
  <c r="L280" i="18"/>
  <c r="L177" i="18"/>
  <c r="L210" i="18"/>
  <c r="L215" i="18"/>
  <c r="L166" i="18"/>
  <c r="L175" i="18"/>
  <c r="L183" i="18"/>
  <c r="L191" i="18"/>
  <c r="L199" i="18"/>
  <c r="L202" i="18"/>
  <c r="L207" i="18"/>
  <c r="L161" i="18"/>
  <c r="L12" i="18"/>
  <c r="L139" i="18"/>
  <c r="L149" i="18"/>
  <c r="L155" i="18"/>
  <c r="L157" i="18"/>
  <c r="L206" i="18"/>
  <c r="L211" i="18"/>
  <c r="L225" i="18"/>
  <c r="L229" i="18"/>
  <c r="L233" i="18"/>
  <c r="L237" i="18"/>
  <c r="L241" i="18"/>
  <c r="L245" i="18"/>
  <c r="L249" i="18"/>
  <c r="L253" i="18"/>
  <c r="L257" i="18"/>
  <c r="L261" i="18"/>
  <c r="L265" i="18"/>
  <c r="L269" i="18"/>
  <c r="L273" i="18"/>
  <c r="L277" i="18"/>
  <c r="L281" i="18"/>
  <c r="L193" i="18"/>
  <c r="L201" i="18"/>
  <c r="L219" i="18"/>
  <c r="L222" i="18"/>
  <c r="L235" i="18"/>
  <c r="L246" i="18"/>
  <c r="L267" i="18"/>
  <c r="L238" i="18"/>
  <c r="L259" i="18"/>
  <c r="L282" i="18"/>
  <c r="L226" i="18"/>
  <c r="L247" i="18"/>
  <c r="L275" i="18"/>
  <c r="L167" i="18"/>
  <c r="L209" i="18"/>
  <c r="L231" i="18"/>
  <c r="L242" i="18"/>
  <c r="L263" i="18"/>
  <c r="L274" i="18"/>
  <c r="L278" i="18"/>
  <c r="L227" i="18"/>
  <c r="L270" i="18"/>
  <c r="L258" i="18"/>
  <c r="L243" i="18"/>
  <c r="L156" i="18"/>
  <c r="L205" i="18"/>
  <c r="L195" i="18"/>
  <c r="L213" i="18"/>
  <c r="L223" i="18"/>
  <c r="L234" i="18"/>
  <c r="L255" i="18"/>
  <c r="L266" i="18"/>
  <c r="L214" i="18"/>
  <c r="L218" i="18"/>
  <c r="L279" i="18"/>
  <c r="L271" i="18"/>
  <c r="L147" i="18"/>
  <c r="L165" i="18"/>
  <c r="L187" i="18"/>
  <c r="L230" i="18"/>
  <c r="L251" i="18"/>
  <c r="L262" i="18"/>
  <c r="L179" i="18"/>
  <c r="L254" i="18"/>
  <c r="L239" i="18"/>
  <c r="L250" i="18"/>
  <c r="M7" i="18"/>
  <c r="M15" i="18"/>
  <c r="M19" i="18"/>
  <c r="M23" i="18"/>
  <c r="M27" i="18"/>
  <c r="M31" i="18"/>
  <c r="M35" i="18"/>
  <c r="M39" i="18"/>
  <c r="M43" i="18"/>
  <c r="M47" i="18"/>
  <c r="M51" i="18"/>
  <c r="M55" i="18"/>
  <c r="M5" i="18"/>
  <c r="M6" i="18"/>
  <c r="M20" i="18"/>
  <c r="M21" i="18"/>
  <c r="M22" i="18"/>
  <c r="M36" i="18"/>
  <c r="M37" i="18"/>
  <c r="M38" i="18"/>
  <c r="M42" i="18"/>
  <c r="M44" i="18"/>
  <c r="M48" i="18"/>
  <c r="M52" i="18"/>
  <c r="M56" i="18"/>
  <c r="M17" i="18"/>
  <c r="M18" i="18"/>
  <c r="M32" i="18"/>
  <c r="M33" i="18"/>
  <c r="M12" i="18"/>
  <c r="M14" i="18"/>
  <c r="M29" i="18"/>
  <c r="M50" i="18"/>
  <c r="M65" i="18"/>
  <c r="M69" i="18"/>
  <c r="M73" i="18"/>
  <c r="M77" i="18"/>
  <c r="M81" i="18"/>
  <c r="M85" i="18"/>
  <c r="M89" i="18"/>
  <c r="M93" i="18"/>
  <c r="M10" i="18"/>
  <c r="M25" i="18"/>
  <c r="M40" i="18"/>
  <c r="M59" i="18"/>
  <c r="M46" i="18"/>
  <c r="M54" i="18"/>
  <c r="M63" i="18"/>
  <c r="M67" i="18"/>
  <c r="M71" i="18"/>
  <c r="M75" i="18"/>
  <c r="M79" i="18"/>
  <c r="M83" i="18"/>
  <c r="M87" i="18"/>
  <c r="M91" i="18"/>
  <c r="M9" i="18"/>
  <c r="M24" i="18"/>
  <c r="M26" i="18"/>
  <c r="M66" i="18"/>
  <c r="M68" i="18"/>
  <c r="M95" i="18"/>
  <c r="M62" i="18"/>
  <c r="M90" i="18"/>
  <c r="M92" i="18"/>
  <c r="M94" i="18"/>
  <c r="M97" i="18"/>
  <c r="M98" i="18"/>
  <c r="M28" i="18"/>
  <c r="M49" i="18"/>
  <c r="M53" i="18"/>
  <c r="M57" i="18"/>
  <c r="M60" i="18"/>
  <c r="M86" i="18"/>
  <c r="M88" i="18"/>
  <c r="M106" i="18"/>
  <c r="M110" i="18"/>
  <c r="M114" i="18"/>
  <c r="M118" i="18"/>
  <c r="M122" i="18"/>
  <c r="M126" i="18"/>
  <c r="M130" i="18"/>
  <c r="M134" i="18"/>
  <c r="M138" i="18"/>
  <c r="M78" i="18"/>
  <c r="M80" i="18"/>
  <c r="M101" i="18"/>
  <c r="M102" i="18"/>
  <c r="M107" i="18"/>
  <c r="M111" i="18"/>
  <c r="M115" i="18"/>
  <c r="M119" i="18"/>
  <c r="M123" i="18"/>
  <c r="M127" i="18"/>
  <c r="M131" i="18"/>
  <c r="M135" i="18"/>
  <c r="M13" i="18"/>
  <c r="M109" i="18"/>
  <c r="M117" i="18"/>
  <c r="M125" i="18"/>
  <c r="M133" i="18"/>
  <c r="M139" i="18"/>
  <c r="M140" i="18"/>
  <c r="M145" i="18"/>
  <c r="M149" i="18"/>
  <c r="M30" i="18"/>
  <c r="M76" i="18"/>
  <c r="M103" i="18"/>
  <c r="M142" i="18"/>
  <c r="M146" i="18"/>
  <c r="M150" i="18"/>
  <c r="M154" i="18"/>
  <c r="M45" i="18"/>
  <c r="M82" i="18"/>
  <c r="M100" i="18"/>
  <c r="M61" i="18"/>
  <c r="M74" i="18"/>
  <c r="M144" i="18"/>
  <c r="M148" i="18"/>
  <c r="M152" i="18"/>
  <c r="M156" i="18"/>
  <c r="M160" i="18"/>
  <c r="M164" i="18"/>
  <c r="M168" i="18"/>
  <c r="M172" i="18"/>
  <c r="M84" i="18"/>
  <c r="M141" i="18"/>
  <c r="M155" i="18"/>
  <c r="M157" i="18"/>
  <c r="M167" i="18"/>
  <c r="M108" i="18"/>
  <c r="M124" i="18"/>
  <c r="M158" i="18"/>
  <c r="M169" i="18"/>
  <c r="M176" i="18"/>
  <c r="M180" i="18"/>
  <c r="M184" i="18"/>
  <c r="M188" i="18"/>
  <c r="M192" i="18"/>
  <c r="M196" i="18"/>
  <c r="M200" i="18"/>
  <c r="M204" i="18"/>
  <c r="M208" i="18"/>
  <c r="M212" i="18"/>
  <c r="M216" i="18"/>
  <c r="M220" i="18"/>
  <c r="M70" i="18"/>
  <c r="M112" i="18"/>
  <c r="M128" i="18"/>
  <c r="M161" i="18"/>
  <c r="M171" i="18"/>
  <c r="M177" i="18"/>
  <c r="M181" i="18"/>
  <c r="M185" i="18"/>
  <c r="M189" i="18"/>
  <c r="M193" i="18"/>
  <c r="M197" i="18"/>
  <c r="M201" i="18"/>
  <c r="M205" i="18"/>
  <c r="M209" i="18"/>
  <c r="M213" i="18"/>
  <c r="M217" i="18"/>
  <c r="M221" i="18"/>
  <c r="M162" i="18"/>
  <c r="M173" i="18"/>
  <c r="M105" i="18"/>
  <c r="M137" i="18"/>
  <c r="M151" i="18"/>
  <c r="M222" i="18"/>
  <c r="M223" i="18"/>
  <c r="M227" i="18"/>
  <c r="M231" i="18"/>
  <c r="M235" i="18"/>
  <c r="M239" i="18"/>
  <c r="M243" i="18"/>
  <c r="M247" i="18"/>
  <c r="M251" i="18"/>
  <c r="M255" i="18"/>
  <c r="M259" i="18"/>
  <c r="M263" i="18"/>
  <c r="M267" i="18"/>
  <c r="M271" i="18"/>
  <c r="M275" i="18"/>
  <c r="M279" i="18"/>
  <c r="M121" i="18"/>
  <c r="M170" i="18"/>
  <c r="M229" i="18"/>
  <c r="M233" i="18"/>
  <c r="M277" i="18"/>
  <c r="M72" i="18"/>
  <c r="M132" i="18"/>
  <c r="M186" i="18"/>
  <c r="M194" i="18"/>
  <c r="M143" i="18"/>
  <c r="M225" i="18"/>
  <c r="M237" i="18"/>
  <c r="M245" i="18"/>
  <c r="M281" i="18"/>
  <c r="M113" i="18"/>
  <c r="M203" i="18"/>
  <c r="M224" i="18"/>
  <c r="M228" i="18"/>
  <c r="M232" i="18"/>
  <c r="M236" i="18"/>
  <c r="M240" i="18"/>
  <c r="M244" i="18"/>
  <c r="M248" i="18"/>
  <c r="M252" i="18"/>
  <c r="M256" i="18"/>
  <c r="M260" i="18"/>
  <c r="M268" i="18"/>
  <c r="M272" i="18"/>
  <c r="M276" i="18"/>
  <c r="M280" i="18"/>
  <c r="M241" i="18"/>
  <c r="M249" i="18"/>
  <c r="M261" i="18"/>
  <c r="M273" i="18"/>
  <c r="M120" i="18"/>
  <c r="M166" i="18"/>
  <c r="M175" i="18"/>
  <c r="M183" i="18"/>
  <c r="M191" i="18"/>
  <c r="M199" i="18"/>
  <c r="M202" i="18"/>
  <c r="M207" i="18"/>
  <c r="M159" i="18"/>
  <c r="M206" i="18"/>
  <c r="M211" i="18"/>
  <c r="M253" i="18"/>
  <c r="M257" i="18"/>
  <c r="M265" i="18"/>
  <c r="M269" i="18"/>
  <c r="M198" i="18"/>
  <c r="M250" i="18"/>
  <c r="M96" i="18"/>
  <c r="M242" i="18"/>
  <c r="M179" i="18"/>
  <c r="M129" i="18"/>
  <c r="M163" i="18"/>
  <c r="M190" i="18"/>
  <c r="M219" i="18"/>
  <c r="M246" i="18"/>
  <c r="M116" i="18"/>
  <c r="M182" i="18"/>
  <c r="M274" i="18"/>
  <c r="M278" i="18"/>
  <c r="M187" i="18"/>
  <c r="M230" i="18"/>
  <c r="M215" i="18"/>
  <c r="M254" i="18"/>
  <c r="M174" i="18"/>
  <c r="M210" i="18"/>
  <c r="M238" i="18"/>
  <c r="M270" i="18"/>
  <c r="M282" i="18"/>
  <c r="M136" i="18"/>
  <c r="M226" i="18"/>
  <c r="M258" i="18"/>
  <c r="M218" i="18"/>
  <c r="M64" i="18"/>
  <c r="M195" i="18"/>
  <c r="M234" i="18"/>
  <c r="M266" i="18"/>
  <c r="M147" i="18"/>
  <c r="M165" i="18"/>
  <c r="M214" i="18"/>
  <c r="M262" i="18"/>
  <c r="M104" i="18"/>
  <c r="K12" i="18"/>
  <c r="K20" i="18"/>
  <c r="K24" i="18"/>
  <c r="K28" i="18"/>
  <c r="K32" i="18"/>
  <c r="K36" i="18"/>
  <c r="K40" i="18"/>
  <c r="K44" i="18"/>
  <c r="K43" i="18"/>
  <c r="K48" i="18"/>
  <c r="K52" i="18"/>
  <c r="K56" i="18"/>
  <c r="K17" i="18"/>
  <c r="K18" i="18"/>
  <c r="K19" i="18"/>
  <c r="K33" i="18"/>
  <c r="K35" i="18"/>
  <c r="K45" i="18"/>
  <c r="K49" i="18"/>
  <c r="K53" i="18"/>
  <c r="K57" i="18"/>
  <c r="K13" i="18"/>
  <c r="K14" i="18"/>
  <c r="K15" i="18"/>
  <c r="K29" i="18"/>
  <c r="K30" i="18"/>
  <c r="K31" i="18"/>
  <c r="K10" i="18"/>
  <c r="K25" i="18"/>
  <c r="K27" i="18"/>
  <c r="K59" i="18"/>
  <c r="K47" i="18"/>
  <c r="K55" i="18"/>
  <c r="K60" i="18"/>
  <c r="K66" i="18"/>
  <c r="K70" i="18"/>
  <c r="K74" i="18"/>
  <c r="K78" i="18"/>
  <c r="K82" i="18"/>
  <c r="K86" i="18"/>
  <c r="K90" i="18"/>
  <c r="K94" i="18"/>
  <c r="K6" i="18"/>
  <c r="K21" i="18"/>
  <c r="K23" i="18"/>
  <c r="K38" i="18"/>
  <c r="K42" i="18"/>
  <c r="K61" i="18"/>
  <c r="K62" i="18"/>
  <c r="K51" i="18"/>
  <c r="K64" i="18"/>
  <c r="K68" i="18"/>
  <c r="K72" i="18"/>
  <c r="K76" i="18"/>
  <c r="K80" i="18"/>
  <c r="K84" i="18"/>
  <c r="K88" i="18"/>
  <c r="K92" i="18"/>
  <c r="K5" i="18"/>
  <c r="K7" i="18"/>
  <c r="K22" i="18"/>
  <c r="K37" i="18"/>
  <c r="K39" i="18"/>
  <c r="K9" i="18"/>
  <c r="K26" i="18"/>
  <c r="K79" i="18"/>
  <c r="K81" i="18"/>
  <c r="K97" i="18"/>
  <c r="K71" i="18"/>
  <c r="K73" i="18"/>
  <c r="K100" i="18"/>
  <c r="K67" i="18"/>
  <c r="K69" i="18"/>
  <c r="K101" i="18"/>
  <c r="K107" i="18"/>
  <c r="K111" i="18"/>
  <c r="K115" i="18"/>
  <c r="K119" i="18"/>
  <c r="K123" i="18"/>
  <c r="K127" i="18"/>
  <c r="K131" i="18"/>
  <c r="K135" i="18"/>
  <c r="K139" i="18"/>
  <c r="K46" i="18"/>
  <c r="K50" i="18"/>
  <c r="K91" i="18"/>
  <c r="K93" i="18"/>
  <c r="K104" i="18"/>
  <c r="K108" i="18"/>
  <c r="K112" i="18"/>
  <c r="K116" i="18"/>
  <c r="K120" i="18"/>
  <c r="K124" i="18"/>
  <c r="K128" i="18"/>
  <c r="K132" i="18"/>
  <c r="K136" i="18"/>
  <c r="K75" i="18"/>
  <c r="K106" i="18"/>
  <c r="K114" i="18"/>
  <c r="K122" i="18"/>
  <c r="K130" i="18"/>
  <c r="K138" i="18"/>
  <c r="K142" i="18"/>
  <c r="K146" i="18"/>
  <c r="K150" i="18"/>
  <c r="K154" i="18"/>
  <c r="K89" i="18"/>
  <c r="K143" i="18"/>
  <c r="K147" i="18"/>
  <c r="K151" i="18"/>
  <c r="K54" i="18"/>
  <c r="K65" i="18"/>
  <c r="K102" i="18"/>
  <c r="K87" i="18"/>
  <c r="K95" i="18"/>
  <c r="K140" i="18"/>
  <c r="K145" i="18"/>
  <c r="K149" i="18"/>
  <c r="K157" i="18"/>
  <c r="K161" i="18"/>
  <c r="K165" i="18"/>
  <c r="K169" i="18"/>
  <c r="K173" i="18"/>
  <c r="K159" i="18"/>
  <c r="K170" i="18"/>
  <c r="K85" i="18"/>
  <c r="K105" i="18"/>
  <c r="K121" i="18"/>
  <c r="K137" i="18"/>
  <c r="K160" i="18"/>
  <c r="K171" i="18"/>
  <c r="K177" i="18"/>
  <c r="K181" i="18"/>
  <c r="K185" i="18"/>
  <c r="K189" i="18"/>
  <c r="K193" i="18"/>
  <c r="K197" i="18"/>
  <c r="K201" i="18"/>
  <c r="K205" i="18"/>
  <c r="K209" i="18"/>
  <c r="K213" i="18"/>
  <c r="K217" i="18"/>
  <c r="K221" i="18"/>
  <c r="K109" i="18"/>
  <c r="K125" i="18"/>
  <c r="K163" i="18"/>
  <c r="K174" i="18"/>
  <c r="K182" i="18"/>
  <c r="K186" i="18"/>
  <c r="K190" i="18"/>
  <c r="K194" i="18"/>
  <c r="K198" i="18"/>
  <c r="K202" i="18"/>
  <c r="K206" i="18"/>
  <c r="K210" i="18"/>
  <c r="K214" i="18"/>
  <c r="K218" i="18"/>
  <c r="K222" i="18"/>
  <c r="K63" i="18"/>
  <c r="K103" i="18"/>
  <c r="K164" i="18"/>
  <c r="K98" i="18"/>
  <c r="K118" i="18"/>
  <c r="K148" i="18"/>
  <c r="K162" i="18"/>
  <c r="K203" i="18"/>
  <c r="K208" i="18"/>
  <c r="K224" i="18"/>
  <c r="K228" i="18"/>
  <c r="K232" i="18"/>
  <c r="K236" i="18"/>
  <c r="K240" i="18"/>
  <c r="K244" i="18"/>
  <c r="K248" i="18"/>
  <c r="K252" i="18"/>
  <c r="K256" i="18"/>
  <c r="K260" i="18"/>
  <c r="K268" i="18"/>
  <c r="K272" i="18"/>
  <c r="K276" i="18"/>
  <c r="K280" i="18"/>
  <c r="K254" i="18"/>
  <c r="K266" i="18"/>
  <c r="K274" i="18"/>
  <c r="K113" i="18"/>
  <c r="K166" i="18"/>
  <c r="K175" i="18"/>
  <c r="K183" i="18"/>
  <c r="K191" i="18"/>
  <c r="K199" i="18"/>
  <c r="K207" i="18"/>
  <c r="K212" i="18"/>
  <c r="K77" i="18"/>
  <c r="K172" i="18"/>
  <c r="K234" i="18"/>
  <c r="K126" i="18"/>
  <c r="K152" i="18"/>
  <c r="K155" i="18"/>
  <c r="K211" i="18"/>
  <c r="K216" i="18"/>
  <c r="K225" i="18"/>
  <c r="K229" i="18"/>
  <c r="K233" i="18"/>
  <c r="K237" i="18"/>
  <c r="K241" i="18"/>
  <c r="K245" i="18"/>
  <c r="K249" i="18"/>
  <c r="K253" i="18"/>
  <c r="K257" i="18"/>
  <c r="K261" i="18"/>
  <c r="K265" i="18"/>
  <c r="K269" i="18"/>
  <c r="K273" i="18"/>
  <c r="K277" i="18"/>
  <c r="K281" i="18"/>
  <c r="K219" i="18"/>
  <c r="K226" i="18"/>
  <c r="K230" i="18"/>
  <c r="K238" i="18"/>
  <c r="K246" i="18"/>
  <c r="K258" i="18"/>
  <c r="K270" i="18"/>
  <c r="K133" i="18"/>
  <c r="K168" i="18"/>
  <c r="K180" i="18"/>
  <c r="K188" i="18"/>
  <c r="K196" i="18"/>
  <c r="K215" i="18"/>
  <c r="K220" i="18"/>
  <c r="K134" i="18"/>
  <c r="K242" i="18"/>
  <c r="K250" i="18"/>
  <c r="K262" i="18"/>
  <c r="K278" i="18"/>
  <c r="K83" i="18"/>
  <c r="K110" i="18"/>
  <c r="K129" i="18"/>
  <c r="K141" i="18"/>
  <c r="K167" i="18"/>
  <c r="K176" i="18"/>
  <c r="K231" i="18"/>
  <c r="K263" i="18"/>
  <c r="K255" i="18"/>
  <c r="K275" i="18"/>
  <c r="K192" i="18"/>
  <c r="K239" i="18"/>
  <c r="K96" i="18"/>
  <c r="K227" i="18"/>
  <c r="K259" i="18"/>
  <c r="K282" i="18"/>
  <c r="K144" i="18"/>
  <c r="K158" i="18"/>
  <c r="K195" i="18"/>
  <c r="K223" i="18"/>
  <c r="K271" i="18"/>
  <c r="K184" i="18"/>
  <c r="K235" i="18"/>
  <c r="K187" i="18"/>
  <c r="K251" i="18"/>
  <c r="K179" i="18"/>
  <c r="K200" i="18"/>
  <c r="K243" i="18"/>
  <c r="K204" i="18"/>
  <c r="K267" i="18"/>
  <c r="K117" i="18"/>
  <c r="K247" i="18"/>
  <c r="K279" i="18"/>
  <c r="K156" i="18"/>
  <c r="G6" i="16"/>
  <c r="G14" i="16"/>
  <c r="G22" i="16"/>
  <c r="G30" i="16"/>
  <c r="G38" i="16"/>
  <c r="G46" i="16"/>
  <c r="G54" i="16"/>
  <c r="G5" i="16"/>
  <c r="G13" i="16"/>
  <c r="G21" i="16"/>
  <c r="G29" i="16"/>
  <c r="G37" i="16"/>
  <c r="G45" i="16"/>
  <c r="G53" i="16"/>
  <c r="G12" i="16"/>
  <c r="G20" i="16"/>
  <c r="G28" i="16"/>
  <c r="G36" i="16"/>
  <c r="G44" i="16"/>
  <c r="G52" i="16"/>
  <c r="G19" i="16"/>
  <c r="G27" i="16"/>
  <c r="G35" i="16"/>
  <c r="G43" i="16"/>
  <c r="G51" i="16"/>
  <c r="G59" i="16"/>
  <c r="G24" i="16"/>
  <c r="G40" i="16"/>
  <c r="G56" i="16"/>
  <c r="G61" i="16"/>
  <c r="G68" i="16"/>
  <c r="G76" i="16"/>
  <c r="G84" i="16"/>
  <c r="G92" i="16"/>
  <c r="G100" i="16"/>
  <c r="G15" i="16"/>
  <c r="G31" i="16"/>
  <c r="G47" i="16"/>
  <c r="G67" i="16"/>
  <c r="G75" i="16"/>
  <c r="G83" i="16"/>
  <c r="G91" i="16"/>
  <c r="G107" i="16"/>
  <c r="G18" i="16"/>
  <c r="G50" i="16"/>
  <c r="G66" i="16"/>
  <c r="G74" i="16"/>
  <c r="G82" i="16"/>
  <c r="G90" i="16"/>
  <c r="G98" i="16"/>
  <c r="G106" i="16"/>
  <c r="G114" i="16"/>
  <c r="G9" i="16"/>
  <c r="G25" i="16"/>
  <c r="G57" i="16"/>
  <c r="G60" i="16"/>
  <c r="G65" i="16"/>
  <c r="G73" i="16"/>
  <c r="G81" i="16"/>
  <c r="G89" i="16"/>
  <c r="G97" i="16"/>
  <c r="G105" i="16"/>
  <c r="G113" i="16"/>
  <c r="G121" i="16"/>
  <c r="G129" i="16"/>
  <c r="G32" i="16"/>
  <c r="G64" i="16"/>
  <c r="G80" i="16"/>
  <c r="G96" i="16"/>
  <c r="G117" i="16"/>
  <c r="G130" i="16"/>
  <c r="G135" i="16"/>
  <c r="G143" i="16"/>
  <c r="G151" i="16"/>
  <c r="G159" i="16"/>
  <c r="G167" i="16"/>
  <c r="G175" i="16"/>
  <c r="G183" i="16"/>
  <c r="G23" i="16"/>
  <c r="G55" i="16"/>
  <c r="G71" i="16"/>
  <c r="G87" i="16"/>
  <c r="G103" i="16"/>
  <c r="G109" i="16"/>
  <c r="G111" i="16"/>
  <c r="G125" i="16"/>
  <c r="G134" i="16"/>
  <c r="G142" i="16"/>
  <c r="G150" i="16"/>
  <c r="G158" i="16"/>
  <c r="G166" i="16"/>
  <c r="G10" i="16"/>
  <c r="G42" i="16"/>
  <c r="G62" i="16"/>
  <c r="G78" i="16"/>
  <c r="G94" i="16"/>
  <c r="G116" i="16"/>
  <c r="G120" i="16"/>
  <c r="G133" i="16"/>
  <c r="G141" i="16"/>
  <c r="G149" i="16"/>
  <c r="G157" i="16"/>
  <c r="G165" i="16"/>
  <c r="G33" i="16"/>
  <c r="G69" i="16"/>
  <c r="G85" i="16"/>
  <c r="G101" i="16"/>
  <c r="G124" i="16"/>
  <c r="G128" i="16"/>
  <c r="G140" i="16"/>
  <c r="G148" i="16"/>
  <c r="G156" i="16"/>
  <c r="G164" i="16"/>
  <c r="G48" i="16"/>
  <c r="G72" i="16"/>
  <c r="G88" i="16"/>
  <c r="G104" i="16"/>
  <c r="G115" i="16"/>
  <c r="G119" i="16"/>
  <c r="G132" i="16"/>
  <c r="G139" i="16"/>
  <c r="G147" i="16"/>
  <c r="G155" i="16"/>
  <c r="G163" i="16"/>
  <c r="G86" i="16"/>
  <c r="G110" i="16"/>
  <c r="G118" i="16"/>
  <c r="G144" i="16"/>
  <c r="G173" i="16"/>
  <c r="G187" i="16"/>
  <c r="G195" i="16"/>
  <c r="G203" i="16"/>
  <c r="G211" i="16"/>
  <c r="G219" i="16"/>
  <c r="G227" i="16"/>
  <c r="G235" i="16"/>
  <c r="G243" i="16"/>
  <c r="G251" i="16"/>
  <c r="G259" i="16"/>
  <c r="G267" i="16"/>
  <c r="G275" i="16"/>
  <c r="G154" i="16"/>
  <c r="G177" i="16"/>
  <c r="G186" i="16"/>
  <c r="G210" i="16"/>
  <c r="G63" i="16"/>
  <c r="G170" i="16"/>
  <c r="G181" i="16"/>
  <c r="G194" i="16"/>
  <c r="G202" i="16"/>
  <c r="G218" i="16"/>
  <c r="G17" i="16"/>
  <c r="G93" i="16"/>
  <c r="G122" i="16"/>
  <c r="G145" i="16"/>
  <c r="G160" i="16"/>
  <c r="G168" i="16"/>
  <c r="G172" i="16"/>
  <c r="G185" i="16"/>
  <c r="G193" i="16"/>
  <c r="G201" i="16"/>
  <c r="G7" i="16"/>
  <c r="G70" i="16"/>
  <c r="G95" i="16"/>
  <c r="G112" i="16"/>
  <c r="G123" i="16"/>
  <c r="G126" i="16"/>
  <c r="G136" i="16"/>
  <c r="G176" i="16"/>
  <c r="G180" i="16"/>
  <c r="G192" i="16"/>
  <c r="G200" i="16"/>
  <c r="G208" i="16"/>
  <c r="G216" i="16"/>
  <c r="G224" i="16"/>
  <c r="G232" i="16"/>
  <c r="G240" i="16"/>
  <c r="G248" i="16"/>
  <c r="G256" i="16"/>
  <c r="G272" i="16"/>
  <c r="G280" i="16"/>
  <c r="G161" i="16"/>
  <c r="G184" i="16"/>
  <c r="G191" i="16"/>
  <c r="G207" i="16"/>
  <c r="G209" i="16"/>
  <c r="G239" i="16"/>
  <c r="G242" i="16"/>
  <c r="G245" i="16"/>
  <c r="G271" i="16"/>
  <c r="G274" i="16"/>
  <c r="G277" i="16"/>
  <c r="G131" i="16"/>
  <c r="G174" i="16"/>
  <c r="G189" i="16"/>
  <c r="G213" i="16"/>
  <c r="G215" i="16"/>
  <c r="G247" i="16"/>
  <c r="G250" i="16"/>
  <c r="G253" i="16"/>
  <c r="G279" i="16"/>
  <c r="G282" i="16"/>
  <c r="G108" i="16"/>
  <c r="G137" i="16"/>
  <c r="G171" i="16"/>
  <c r="G179" i="16"/>
  <c r="G198" i="16"/>
  <c r="G220" i="16"/>
  <c r="G222" i="16"/>
  <c r="G230" i="16"/>
  <c r="G233" i="16"/>
  <c r="G236" i="16"/>
  <c r="G262" i="16"/>
  <c r="G265" i="16"/>
  <c r="G268" i="16"/>
  <c r="G162" i="16"/>
  <c r="G205" i="16"/>
  <c r="G127" i="16"/>
  <c r="G146" i="16"/>
  <c r="G199" i="16"/>
  <c r="G226" i="16"/>
  <c r="G229" i="16"/>
  <c r="G255" i="16"/>
  <c r="G258" i="16"/>
  <c r="G261" i="16"/>
  <c r="G77" i="16"/>
  <c r="G102" i="16"/>
  <c r="G152" i="16"/>
  <c r="G169" i="16"/>
  <c r="G190" i="16"/>
  <c r="G206" i="16"/>
  <c r="G221" i="16"/>
  <c r="G223" i="16"/>
  <c r="G246" i="16"/>
  <c r="G249" i="16"/>
  <c r="G252" i="16"/>
  <c r="G26" i="16"/>
  <c r="G49" i="16"/>
  <c r="G188" i="16"/>
  <c r="G204" i="16"/>
  <c r="G225" i="16"/>
  <c r="G228" i="16"/>
  <c r="G254" i="16"/>
  <c r="G257" i="16"/>
  <c r="G260" i="16"/>
  <c r="G231" i="16"/>
  <c r="G237" i="16"/>
  <c r="G273" i="16"/>
  <c r="G281" i="16"/>
  <c r="G241" i="16"/>
  <c r="G79" i="16"/>
  <c r="G217" i="16"/>
  <c r="G238" i="16"/>
  <c r="G244" i="16"/>
  <c r="G39" i="16"/>
  <c r="G212" i="16"/>
  <c r="G263" i="16"/>
  <c r="G269" i="16"/>
  <c r="G278" i="16"/>
  <c r="G214" i="16"/>
  <c r="G276" i="16"/>
  <c r="G182" i="16"/>
  <c r="G138" i="16"/>
  <c r="G196" i="16"/>
  <c r="G270" i="16"/>
  <c r="G197" i="16"/>
  <c r="G234" i="16"/>
  <c r="G266" i="16"/>
  <c r="I24" i="16"/>
  <c r="I32" i="16"/>
  <c r="I40" i="16"/>
  <c r="I48" i="16"/>
  <c r="I56" i="16"/>
  <c r="I7" i="16"/>
  <c r="I15" i="16"/>
  <c r="I23" i="16"/>
  <c r="I31" i="16"/>
  <c r="I39" i="16"/>
  <c r="I47" i="16"/>
  <c r="I55" i="16"/>
  <c r="I6" i="16"/>
  <c r="I14" i="16"/>
  <c r="I22" i="16"/>
  <c r="I30" i="16"/>
  <c r="I38" i="16"/>
  <c r="I46" i="16"/>
  <c r="I54" i="16"/>
  <c r="I5" i="16"/>
  <c r="I13" i="16"/>
  <c r="I21" i="16"/>
  <c r="I29" i="16"/>
  <c r="I37" i="16"/>
  <c r="I45" i="16"/>
  <c r="I53" i="16"/>
  <c r="I61" i="16"/>
  <c r="I10" i="16"/>
  <c r="I26" i="16"/>
  <c r="I42" i="16"/>
  <c r="I62" i="16"/>
  <c r="I70" i="16"/>
  <c r="I78" i="16"/>
  <c r="I86" i="16"/>
  <c r="I94" i="16"/>
  <c r="I102" i="16"/>
  <c r="I17" i="16"/>
  <c r="I33" i="16"/>
  <c r="I49" i="16"/>
  <c r="I69" i="16"/>
  <c r="I77" i="16"/>
  <c r="I85" i="16"/>
  <c r="I93" i="16"/>
  <c r="I101" i="16"/>
  <c r="I109" i="16"/>
  <c r="I20" i="16"/>
  <c r="I36" i="16"/>
  <c r="I52" i="16"/>
  <c r="I68" i="16"/>
  <c r="I76" i="16"/>
  <c r="I84" i="16"/>
  <c r="I92" i="16"/>
  <c r="I100" i="16"/>
  <c r="I108" i="16"/>
  <c r="I27" i="16"/>
  <c r="I43" i="16"/>
  <c r="I67" i="16"/>
  <c r="I75" i="16"/>
  <c r="I83" i="16"/>
  <c r="I91" i="16"/>
  <c r="I107" i="16"/>
  <c r="I115" i="16"/>
  <c r="I123" i="16"/>
  <c r="I131" i="16"/>
  <c r="I18" i="16"/>
  <c r="I50" i="16"/>
  <c r="I66" i="16"/>
  <c r="I82" i="16"/>
  <c r="I98" i="16"/>
  <c r="I118" i="16"/>
  <c r="I122" i="16"/>
  <c r="I137" i="16"/>
  <c r="I145" i="16"/>
  <c r="I161" i="16"/>
  <c r="I169" i="16"/>
  <c r="I177" i="16"/>
  <c r="I9" i="16"/>
  <c r="I73" i="16"/>
  <c r="I89" i="16"/>
  <c r="I105" i="16"/>
  <c r="I126" i="16"/>
  <c r="I130" i="16"/>
  <c r="I136" i="16"/>
  <c r="I144" i="16"/>
  <c r="I152" i="16"/>
  <c r="I160" i="16"/>
  <c r="I168" i="16"/>
  <c r="I28" i="16"/>
  <c r="I64" i="16"/>
  <c r="I80" i="16"/>
  <c r="I96" i="16"/>
  <c r="I117" i="16"/>
  <c r="I121" i="16"/>
  <c r="I135" i="16"/>
  <c r="I143" i="16"/>
  <c r="I151" i="16"/>
  <c r="I159" i="16"/>
  <c r="I167" i="16"/>
  <c r="I19" i="16"/>
  <c r="I51" i="16"/>
  <c r="I59" i="16"/>
  <c r="I71" i="16"/>
  <c r="I87" i="16"/>
  <c r="I103" i="16"/>
  <c r="I111" i="16"/>
  <c r="I113" i="16"/>
  <c r="I125" i="16"/>
  <c r="I129" i="16"/>
  <c r="I134" i="16"/>
  <c r="I142" i="16"/>
  <c r="I150" i="16"/>
  <c r="I158" i="16"/>
  <c r="I166" i="16"/>
  <c r="I60" i="16"/>
  <c r="I74" i="16"/>
  <c r="I90" i="16"/>
  <c r="I106" i="16"/>
  <c r="I116" i="16"/>
  <c r="I120" i="16"/>
  <c r="I133" i="16"/>
  <c r="I141" i="16"/>
  <c r="I149" i="16"/>
  <c r="I157" i="16"/>
  <c r="I79" i="16"/>
  <c r="I104" i="16"/>
  <c r="I114" i="16"/>
  <c r="I147" i="16"/>
  <c r="I162" i="16"/>
  <c r="I174" i="16"/>
  <c r="I189" i="16"/>
  <c r="I197" i="16"/>
  <c r="I205" i="16"/>
  <c r="I213" i="16"/>
  <c r="I221" i="16"/>
  <c r="I229" i="16"/>
  <c r="I237" i="16"/>
  <c r="I245" i="16"/>
  <c r="I253" i="16"/>
  <c r="I261" i="16"/>
  <c r="I269" i="16"/>
  <c r="I277" i="16"/>
  <c r="I182" i="16"/>
  <c r="I220" i="16"/>
  <c r="I81" i="16"/>
  <c r="I132" i="16"/>
  <c r="I138" i="16"/>
  <c r="I188" i="16"/>
  <c r="I196" i="16"/>
  <c r="I204" i="16"/>
  <c r="I212" i="16"/>
  <c r="I110" i="16"/>
  <c r="I148" i="16"/>
  <c r="I163" i="16"/>
  <c r="I173" i="16"/>
  <c r="I187" i="16"/>
  <c r="I195" i="16"/>
  <c r="I203" i="16"/>
  <c r="I44" i="16"/>
  <c r="I57" i="16"/>
  <c r="I63" i="16"/>
  <c r="I88" i="16"/>
  <c r="I119" i="16"/>
  <c r="I139" i="16"/>
  <c r="I154" i="16"/>
  <c r="I170" i="16"/>
  <c r="I181" i="16"/>
  <c r="I186" i="16"/>
  <c r="I194" i="16"/>
  <c r="I202" i="16"/>
  <c r="I210" i="16"/>
  <c r="I218" i="16"/>
  <c r="I226" i="16"/>
  <c r="I234" i="16"/>
  <c r="I242" i="16"/>
  <c r="I250" i="16"/>
  <c r="I258" i="16"/>
  <c r="I266" i="16"/>
  <c r="I274" i="16"/>
  <c r="I282" i="16"/>
  <c r="I176" i="16"/>
  <c r="I193" i="16"/>
  <c r="I214" i="16"/>
  <c r="I216" i="16"/>
  <c r="I225" i="16"/>
  <c r="I228" i="16"/>
  <c r="I231" i="16"/>
  <c r="I257" i="16"/>
  <c r="I260" i="16"/>
  <c r="I263" i="16"/>
  <c r="I97" i="16"/>
  <c r="I191" i="16"/>
  <c r="I207" i="16"/>
  <c r="I211" i="16"/>
  <c r="I239" i="16"/>
  <c r="I265" i="16"/>
  <c r="I271" i="16"/>
  <c r="I95" i="16"/>
  <c r="I155" i="16"/>
  <c r="I184" i="16"/>
  <c r="I200" i="16"/>
  <c r="I209" i="16"/>
  <c r="I248" i="16"/>
  <c r="I251" i="16"/>
  <c r="I254" i="16"/>
  <c r="I280" i="16"/>
  <c r="I12" i="16"/>
  <c r="I35" i="16"/>
  <c r="I72" i="16"/>
  <c r="I124" i="16"/>
  <c r="I233" i="16"/>
  <c r="I236" i="16"/>
  <c r="I65" i="16"/>
  <c r="I164" i="16"/>
  <c r="I172" i="16"/>
  <c r="I185" i="16"/>
  <c r="I201" i="16"/>
  <c r="I215" i="16"/>
  <c r="I217" i="16"/>
  <c r="I224" i="16"/>
  <c r="I241" i="16"/>
  <c r="I244" i="16"/>
  <c r="I247" i="16"/>
  <c r="I273" i="16"/>
  <c r="I276" i="16"/>
  <c r="I279" i="16"/>
  <c r="I112" i="16"/>
  <c r="I140" i="16"/>
  <c r="I180" i="16"/>
  <c r="I192" i="16"/>
  <c r="I208" i="16"/>
  <c r="I219" i="16"/>
  <c r="I232" i="16"/>
  <c r="I235" i="16"/>
  <c r="I238" i="16"/>
  <c r="I267" i="16"/>
  <c r="I270" i="16"/>
  <c r="I128" i="16"/>
  <c r="I165" i="16"/>
  <c r="I183" i="16"/>
  <c r="I190" i="16"/>
  <c r="I206" i="16"/>
  <c r="I223" i="16"/>
  <c r="I240" i="16"/>
  <c r="I243" i="16"/>
  <c r="I246" i="16"/>
  <c r="I272" i="16"/>
  <c r="I275" i="16"/>
  <c r="I278" i="16"/>
  <c r="I268" i="16"/>
  <c r="I127" i="16"/>
  <c r="I249" i="16"/>
  <c r="I255" i="16"/>
  <c r="I222" i="16"/>
  <c r="I259" i="16"/>
  <c r="I171" i="16"/>
  <c r="I25" i="16"/>
  <c r="I156" i="16"/>
  <c r="I256" i="16"/>
  <c r="I262" i="16"/>
  <c r="I281" i="16"/>
  <c r="I175" i="16"/>
  <c r="I146" i="16"/>
  <c r="I227" i="16"/>
  <c r="I252" i="16"/>
  <c r="I179" i="16"/>
  <c r="I198" i="16"/>
  <c r="I230" i="16"/>
  <c r="I199" i="16"/>
  <c r="J9" i="16"/>
  <c r="J17" i="16"/>
  <c r="J25" i="16"/>
  <c r="J33" i="16"/>
  <c r="J49" i="16"/>
  <c r="J57" i="16"/>
  <c r="J24" i="16"/>
  <c r="J32" i="16"/>
  <c r="J40" i="16"/>
  <c r="J48" i="16"/>
  <c r="J56" i="16"/>
  <c r="J7" i="16"/>
  <c r="J15" i="16"/>
  <c r="J23" i="16"/>
  <c r="J31" i="16"/>
  <c r="J39" i="16"/>
  <c r="J47" i="16"/>
  <c r="J55" i="16"/>
  <c r="J6" i="16"/>
  <c r="J14" i="16"/>
  <c r="J22" i="16"/>
  <c r="J30" i="16"/>
  <c r="J38" i="16"/>
  <c r="J46" i="16"/>
  <c r="J54" i="16"/>
  <c r="J5" i="16"/>
  <c r="J19" i="16"/>
  <c r="J35" i="16"/>
  <c r="J51" i="16"/>
  <c r="J59" i="16"/>
  <c r="J63" i="16"/>
  <c r="J71" i="16"/>
  <c r="J79" i="16"/>
  <c r="J87" i="16"/>
  <c r="J95" i="16"/>
  <c r="J103" i="16"/>
  <c r="J10" i="16"/>
  <c r="J26" i="16"/>
  <c r="J42" i="16"/>
  <c r="J62" i="16"/>
  <c r="J70" i="16"/>
  <c r="J78" i="16"/>
  <c r="J86" i="16"/>
  <c r="J94" i="16"/>
  <c r="J102" i="16"/>
  <c r="J110" i="16"/>
  <c r="J13" i="16"/>
  <c r="J29" i="16"/>
  <c r="J45" i="16"/>
  <c r="J61" i="16"/>
  <c r="J69" i="16"/>
  <c r="J77" i="16"/>
  <c r="J85" i="16"/>
  <c r="J93" i="16"/>
  <c r="J101" i="16"/>
  <c r="J109" i="16"/>
  <c r="J20" i="16"/>
  <c r="J36" i="16"/>
  <c r="J52" i="16"/>
  <c r="J68" i="16"/>
  <c r="J76" i="16"/>
  <c r="J84" i="16"/>
  <c r="J92" i="16"/>
  <c r="J100" i="16"/>
  <c r="J108" i="16"/>
  <c r="J116" i="16"/>
  <c r="J124" i="16"/>
  <c r="J132" i="16"/>
  <c r="J27" i="16"/>
  <c r="J75" i="16"/>
  <c r="J91" i="16"/>
  <c r="J112" i="16"/>
  <c r="J114" i="16"/>
  <c r="J127" i="16"/>
  <c r="J131" i="16"/>
  <c r="J138" i="16"/>
  <c r="J146" i="16"/>
  <c r="J154" i="16"/>
  <c r="J162" i="16"/>
  <c r="J170" i="16"/>
  <c r="J18" i="16"/>
  <c r="J50" i="16"/>
  <c r="J66" i="16"/>
  <c r="J82" i="16"/>
  <c r="J98" i="16"/>
  <c r="J107" i="16"/>
  <c r="J118" i="16"/>
  <c r="J122" i="16"/>
  <c r="J137" i="16"/>
  <c r="J145" i="16"/>
  <c r="J161" i="16"/>
  <c r="J169" i="16"/>
  <c r="J37" i="16"/>
  <c r="J73" i="16"/>
  <c r="J89" i="16"/>
  <c r="J105" i="16"/>
  <c r="J126" i="16"/>
  <c r="J130" i="16"/>
  <c r="J136" i="16"/>
  <c r="J144" i="16"/>
  <c r="J152" i="16"/>
  <c r="J160" i="16"/>
  <c r="J168" i="16"/>
  <c r="J28" i="16"/>
  <c r="J64" i="16"/>
  <c r="J80" i="16"/>
  <c r="J96" i="16"/>
  <c r="J117" i="16"/>
  <c r="J121" i="16"/>
  <c r="J135" i="16"/>
  <c r="J143" i="16"/>
  <c r="J151" i="16"/>
  <c r="J159" i="16"/>
  <c r="J167" i="16"/>
  <c r="J43" i="16"/>
  <c r="J67" i="16"/>
  <c r="J83" i="16"/>
  <c r="J111" i="16"/>
  <c r="J113" i="16"/>
  <c r="J125" i="16"/>
  <c r="J129" i="16"/>
  <c r="J134" i="16"/>
  <c r="J142" i="16"/>
  <c r="J150" i="16"/>
  <c r="J158" i="16"/>
  <c r="J74" i="16"/>
  <c r="J128" i="16"/>
  <c r="J141" i="16"/>
  <c r="J156" i="16"/>
  <c r="J165" i="16"/>
  <c r="J171" i="16"/>
  <c r="J179" i="16"/>
  <c r="J183" i="16"/>
  <c r="J190" i="16"/>
  <c r="J198" i="16"/>
  <c r="J206" i="16"/>
  <c r="J214" i="16"/>
  <c r="J222" i="16"/>
  <c r="J230" i="16"/>
  <c r="J238" i="16"/>
  <c r="J246" i="16"/>
  <c r="J254" i="16"/>
  <c r="J262" i="16"/>
  <c r="J270" i="16"/>
  <c r="J278" i="16"/>
  <c r="J147" i="16"/>
  <c r="J189" i="16"/>
  <c r="J197" i="16"/>
  <c r="J205" i="16"/>
  <c r="J213" i="16"/>
  <c r="J53" i="16"/>
  <c r="J104" i="16"/>
  <c r="J174" i="16"/>
  <c r="J221" i="16"/>
  <c r="J81" i="16"/>
  <c r="J106" i="16"/>
  <c r="J115" i="16"/>
  <c r="J157" i="16"/>
  <c r="J182" i="16"/>
  <c r="J188" i="16"/>
  <c r="J196" i="16"/>
  <c r="J204" i="16"/>
  <c r="J133" i="16"/>
  <c r="J148" i="16"/>
  <c r="J163" i="16"/>
  <c r="J166" i="16"/>
  <c r="J173" i="16"/>
  <c r="J177" i="16"/>
  <c r="J187" i="16"/>
  <c r="J195" i="16"/>
  <c r="J203" i="16"/>
  <c r="J211" i="16"/>
  <c r="J219" i="16"/>
  <c r="J227" i="16"/>
  <c r="J235" i="16"/>
  <c r="J243" i="16"/>
  <c r="J251" i="16"/>
  <c r="J259" i="16"/>
  <c r="J267" i="16"/>
  <c r="J275" i="16"/>
  <c r="J181" i="16"/>
  <c r="J186" i="16"/>
  <c r="J202" i="16"/>
  <c r="J223" i="16"/>
  <c r="J234" i="16"/>
  <c r="J237" i="16"/>
  <c r="J240" i="16"/>
  <c r="J266" i="16"/>
  <c r="J269" i="16"/>
  <c r="J272" i="16"/>
  <c r="J60" i="16"/>
  <c r="J155" i="16"/>
  <c r="J184" i="16"/>
  <c r="J220" i="16"/>
  <c r="J242" i="16"/>
  <c r="J274" i="16"/>
  <c r="J277" i="16"/>
  <c r="J123" i="16"/>
  <c r="J149" i="16"/>
  <c r="J176" i="16"/>
  <c r="J193" i="16"/>
  <c r="J216" i="16"/>
  <c r="J218" i="16"/>
  <c r="J225" i="16"/>
  <c r="J228" i="16"/>
  <c r="J231" i="16"/>
  <c r="J257" i="16"/>
  <c r="J260" i="16"/>
  <c r="J263" i="16"/>
  <c r="J200" i="16"/>
  <c r="J245" i="16"/>
  <c r="J248" i="16"/>
  <c r="J280" i="16"/>
  <c r="J21" i="16"/>
  <c r="J44" i="16"/>
  <c r="J88" i="16"/>
  <c r="J119" i="16"/>
  <c r="J139" i="16"/>
  <c r="J194" i="16"/>
  <c r="J250" i="16"/>
  <c r="J253" i="16"/>
  <c r="J256" i="16"/>
  <c r="J282" i="16"/>
  <c r="J65" i="16"/>
  <c r="J90" i="16"/>
  <c r="J120" i="16"/>
  <c r="J164" i="16"/>
  <c r="J172" i="16"/>
  <c r="J185" i="16"/>
  <c r="J201" i="16"/>
  <c r="J215" i="16"/>
  <c r="J217" i="16"/>
  <c r="J224" i="16"/>
  <c r="J241" i="16"/>
  <c r="J244" i="16"/>
  <c r="J247" i="16"/>
  <c r="J175" i="16"/>
  <c r="J199" i="16"/>
  <c r="J212" i="16"/>
  <c r="J249" i="16"/>
  <c r="J252" i="16"/>
  <c r="J255" i="16"/>
  <c r="J281" i="16"/>
  <c r="J209" i="16"/>
  <c r="J12" i="16"/>
  <c r="J72" i="16"/>
  <c r="J192" i="16"/>
  <c r="J210" i="16"/>
  <c r="J261" i="16"/>
  <c r="J279" i="16"/>
  <c r="J180" i="16"/>
  <c r="J97" i="16"/>
  <c r="J268" i="16"/>
  <c r="J273" i="16"/>
  <c r="J191" i="16"/>
  <c r="J226" i="16"/>
  <c r="J232" i="16"/>
  <c r="J271" i="16"/>
  <c r="J208" i="16"/>
  <c r="J229" i="16"/>
  <c r="J276" i="16"/>
  <c r="J233" i="16"/>
  <c r="J239" i="16"/>
  <c r="J140" i="16"/>
  <c r="J258" i="16"/>
  <c r="J207" i="16"/>
  <c r="J265" i="16"/>
  <c r="J236" i="16"/>
  <c r="H7" i="16"/>
  <c r="H15" i="16"/>
  <c r="H23" i="16"/>
  <c r="H31" i="16"/>
  <c r="H39" i="16"/>
  <c r="H47" i="16"/>
  <c r="H55" i="16"/>
  <c r="H6" i="16"/>
  <c r="H14" i="16"/>
  <c r="H22" i="16"/>
  <c r="H30" i="16"/>
  <c r="H38" i="16"/>
  <c r="H46" i="16"/>
  <c r="H54" i="16"/>
  <c r="H5" i="16"/>
  <c r="H13" i="16"/>
  <c r="H21" i="16"/>
  <c r="H29" i="16"/>
  <c r="H37" i="16"/>
  <c r="H45" i="16"/>
  <c r="H53" i="16"/>
  <c r="H12" i="16"/>
  <c r="H20" i="16"/>
  <c r="H28" i="16"/>
  <c r="H36" i="16"/>
  <c r="H44" i="16"/>
  <c r="H52" i="16"/>
  <c r="H60" i="16"/>
  <c r="H17" i="16"/>
  <c r="H33" i="16"/>
  <c r="H49" i="16"/>
  <c r="H69" i="16"/>
  <c r="H77" i="16"/>
  <c r="H85" i="16"/>
  <c r="H93" i="16"/>
  <c r="H101" i="16"/>
  <c r="H24" i="16"/>
  <c r="H40" i="16"/>
  <c r="H56" i="16"/>
  <c r="H61" i="16"/>
  <c r="H68" i="16"/>
  <c r="H76" i="16"/>
  <c r="H84" i="16"/>
  <c r="H92" i="16"/>
  <c r="H100" i="16"/>
  <c r="H108" i="16"/>
  <c r="H27" i="16"/>
  <c r="H43" i="16"/>
  <c r="H67" i="16"/>
  <c r="H75" i="16"/>
  <c r="H83" i="16"/>
  <c r="H91" i="16"/>
  <c r="H107" i="16"/>
  <c r="H18" i="16"/>
  <c r="H50" i="16"/>
  <c r="H66" i="16"/>
  <c r="H74" i="16"/>
  <c r="H82" i="16"/>
  <c r="H90" i="16"/>
  <c r="H98" i="16"/>
  <c r="H106" i="16"/>
  <c r="H114" i="16"/>
  <c r="H122" i="16"/>
  <c r="H130" i="16"/>
  <c r="H9" i="16"/>
  <c r="H73" i="16"/>
  <c r="H89" i="16"/>
  <c r="H105" i="16"/>
  <c r="H126" i="16"/>
  <c r="H136" i="16"/>
  <c r="H144" i="16"/>
  <c r="H152" i="16"/>
  <c r="H160" i="16"/>
  <c r="H168" i="16"/>
  <c r="H176" i="16"/>
  <c r="H184" i="16"/>
  <c r="H32" i="16"/>
  <c r="H64" i="16"/>
  <c r="H80" i="16"/>
  <c r="H96" i="16"/>
  <c r="H117" i="16"/>
  <c r="H121" i="16"/>
  <c r="H135" i="16"/>
  <c r="H143" i="16"/>
  <c r="H151" i="16"/>
  <c r="H159" i="16"/>
  <c r="H167" i="16"/>
  <c r="H19" i="16"/>
  <c r="H51" i="16"/>
  <c r="H59" i="16"/>
  <c r="H71" i="16"/>
  <c r="H87" i="16"/>
  <c r="H103" i="16"/>
  <c r="H109" i="16"/>
  <c r="H111" i="16"/>
  <c r="H113" i="16"/>
  <c r="H125" i="16"/>
  <c r="H129" i="16"/>
  <c r="H134" i="16"/>
  <c r="H142" i="16"/>
  <c r="H150" i="16"/>
  <c r="H158" i="16"/>
  <c r="H166" i="16"/>
  <c r="H10" i="16"/>
  <c r="H42" i="16"/>
  <c r="H62" i="16"/>
  <c r="H78" i="16"/>
  <c r="H94" i="16"/>
  <c r="H116" i="16"/>
  <c r="H120" i="16"/>
  <c r="H133" i="16"/>
  <c r="H141" i="16"/>
  <c r="H149" i="16"/>
  <c r="H157" i="16"/>
  <c r="H165" i="16"/>
  <c r="H25" i="16"/>
  <c r="H57" i="16"/>
  <c r="H65" i="16"/>
  <c r="H81" i="16"/>
  <c r="H97" i="16"/>
  <c r="H124" i="16"/>
  <c r="H128" i="16"/>
  <c r="H140" i="16"/>
  <c r="H148" i="16"/>
  <c r="H156" i="16"/>
  <c r="H164" i="16"/>
  <c r="H26" i="16"/>
  <c r="H132" i="16"/>
  <c r="H138" i="16"/>
  <c r="H182" i="16"/>
  <c r="H188" i="16"/>
  <c r="H196" i="16"/>
  <c r="H204" i="16"/>
  <c r="H212" i="16"/>
  <c r="H220" i="16"/>
  <c r="H228" i="16"/>
  <c r="H236" i="16"/>
  <c r="H244" i="16"/>
  <c r="H252" i="16"/>
  <c r="H260" i="16"/>
  <c r="H268" i="16"/>
  <c r="H276" i="16"/>
  <c r="H110" i="16"/>
  <c r="H163" i="16"/>
  <c r="H173" i="16"/>
  <c r="H187" i="16"/>
  <c r="H195" i="16"/>
  <c r="H203" i="16"/>
  <c r="H211" i="16"/>
  <c r="H219" i="16"/>
  <c r="H86" i="16"/>
  <c r="H115" i="16"/>
  <c r="H118" i="16"/>
  <c r="H63" i="16"/>
  <c r="H88" i="16"/>
  <c r="H119" i="16"/>
  <c r="H139" i="16"/>
  <c r="H154" i="16"/>
  <c r="H170" i="16"/>
  <c r="H177" i="16"/>
  <c r="H181" i="16"/>
  <c r="H186" i="16"/>
  <c r="H194" i="16"/>
  <c r="H202" i="16"/>
  <c r="H145" i="16"/>
  <c r="H172" i="16"/>
  <c r="H185" i="16"/>
  <c r="H193" i="16"/>
  <c r="H201" i="16"/>
  <c r="H209" i="16"/>
  <c r="H217" i="16"/>
  <c r="H225" i="16"/>
  <c r="H233" i="16"/>
  <c r="H241" i="16"/>
  <c r="H249" i="16"/>
  <c r="H257" i="16"/>
  <c r="H265" i="16"/>
  <c r="H273" i="16"/>
  <c r="H281" i="16"/>
  <c r="H70" i="16"/>
  <c r="H95" i="16"/>
  <c r="H123" i="16"/>
  <c r="H155" i="16"/>
  <c r="H200" i="16"/>
  <c r="H218" i="16"/>
  <c r="H248" i="16"/>
  <c r="H251" i="16"/>
  <c r="H254" i="16"/>
  <c r="H280" i="16"/>
  <c r="H179" i="16"/>
  <c r="H222" i="16"/>
  <c r="H227" i="16"/>
  <c r="H230" i="16"/>
  <c r="H259" i="16"/>
  <c r="H35" i="16"/>
  <c r="H72" i="16"/>
  <c r="H161" i="16"/>
  <c r="H191" i="16"/>
  <c r="H207" i="16"/>
  <c r="H239" i="16"/>
  <c r="H242" i="16"/>
  <c r="H245" i="16"/>
  <c r="H271" i="16"/>
  <c r="H274" i="16"/>
  <c r="H277" i="16"/>
  <c r="H137" i="16"/>
  <c r="H171" i="16"/>
  <c r="H198" i="16"/>
  <c r="H256" i="16"/>
  <c r="H262" i="16"/>
  <c r="H112" i="16"/>
  <c r="H180" i="16"/>
  <c r="H192" i="16"/>
  <c r="H208" i="16"/>
  <c r="H232" i="16"/>
  <c r="H235" i="16"/>
  <c r="H238" i="16"/>
  <c r="H267" i="16"/>
  <c r="H270" i="16"/>
  <c r="H48" i="16"/>
  <c r="H127" i="16"/>
  <c r="H146" i="16"/>
  <c r="H175" i="16"/>
  <c r="H199" i="16"/>
  <c r="H210" i="16"/>
  <c r="H226" i="16"/>
  <c r="H229" i="16"/>
  <c r="H255" i="16"/>
  <c r="H258" i="16"/>
  <c r="H261" i="16"/>
  <c r="H79" i="16"/>
  <c r="H104" i="16"/>
  <c r="H147" i="16"/>
  <c r="H197" i="16"/>
  <c r="H214" i="16"/>
  <c r="H216" i="16"/>
  <c r="H231" i="16"/>
  <c r="H234" i="16"/>
  <c r="H237" i="16"/>
  <c r="H263" i="16"/>
  <c r="H266" i="16"/>
  <c r="H269" i="16"/>
  <c r="H183" i="16"/>
  <c r="H243" i="16"/>
  <c r="H250" i="16"/>
  <c r="H206" i="16"/>
  <c r="H189" i="16"/>
  <c r="H223" i="16"/>
  <c r="H131" i="16"/>
  <c r="H174" i="16"/>
  <c r="H102" i="16"/>
  <c r="H282" i="16"/>
  <c r="H246" i="16"/>
  <c r="H279" i="16"/>
  <c r="H215" i="16"/>
  <c r="H253" i="16"/>
  <c r="H190" i="16"/>
  <c r="H224" i="16"/>
  <c r="H162" i="16"/>
  <c r="H205" i="16"/>
  <c r="H213" i="16"/>
  <c r="H278" i="16"/>
  <c r="H221" i="16"/>
  <c r="H240" i="16"/>
  <c r="H247" i="16"/>
  <c r="H275" i="16"/>
  <c r="H272" i="16"/>
  <c r="H169" i="16"/>
  <c r="N6" i="14"/>
  <c r="N14" i="14"/>
  <c r="N22" i="14"/>
  <c r="N30" i="14"/>
  <c r="N19" i="14"/>
  <c r="N27" i="14"/>
  <c r="N35" i="14"/>
  <c r="N43" i="14"/>
  <c r="N51" i="14"/>
  <c r="N24" i="14"/>
  <c r="N32" i="14"/>
  <c r="N40" i="14"/>
  <c r="N48" i="14"/>
  <c r="N56" i="14"/>
  <c r="N5" i="14"/>
  <c r="N13" i="14"/>
  <c r="N21" i="14"/>
  <c r="N29" i="14"/>
  <c r="N37" i="14"/>
  <c r="N45" i="14"/>
  <c r="N53" i="14"/>
  <c r="N10" i="14"/>
  <c r="N18" i="14"/>
  <c r="N26" i="14"/>
  <c r="N42" i="14"/>
  <c r="N50" i="14"/>
  <c r="N7" i="14"/>
  <c r="N15" i="14"/>
  <c r="N23" i="14"/>
  <c r="N31" i="14"/>
  <c r="N39" i="14"/>
  <c r="N47" i="14"/>
  <c r="N55" i="14"/>
  <c r="N9" i="14"/>
  <c r="N17" i="14"/>
  <c r="N25" i="14"/>
  <c r="N33" i="14"/>
  <c r="N49" i="14"/>
  <c r="N28" i="14"/>
  <c r="N44" i="14"/>
  <c r="N62" i="14"/>
  <c r="N70" i="14"/>
  <c r="N78" i="14"/>
  <c r="N86" i="14"/>
  <c r="N94" i="14"/>
  <c r="N52" i="14"/>
  <c r="N64" i="14"/>
  <c r="N72" i="14"/>
  <c r="N80" i="14"/>
  <c r="N88" i="14"/>
  <c r="N20" i="14"/>
  <c r="N61" i="14"/>
  <c r="N69" i="14"/>
  <c r="N77" i="14"/>
  <c r="N85" i="14"/>
  <c r="N93" i="14"/>
  <c r="N66" i="14"/>
  <c r="N74" i="14"/>
  <c r="N82" i="14"/>
  <c r="N90" i="14"/>
  <c r="N38" i="14"/>
  <c r="N63" i="14"/>
  <c r="N71" i="14"/>
  <c r="N79" i="14"/>
  <c r="N87" i="14"/>
  <c r="N12" i="14"/>
  <c r="N36" i="14"/>
  <c r="N60" i="14"/>
  <c r="N68" i="14"/>
  <c r="N76" i="14"/>
  <c r="N84" i="14"/>
  <c r="N92" i="14"/>
  <c r="N57" i="14"/>
  <c r="N89" i="14"/>
  <c r="N95" i="14"/>
  <c r="N103" i="14"/>
  <c r="N111" i="14"/>
  <c r="N119" i="14"/>
  <c r="N127" i="14"/>
  <c r="N135" i="14"/>
  <c r="N143" i="14"/>
  <c r="N151" i="14"/>
  <c r="N159" i="14"/>
  <c r="N167" i="14"/>
  <c r="N175" i="14"/>
  <c r="N183" i="14"/>
  <c r="N65" i="14"/>
  <c r="N98" i="14"/>
  <c r="N105" i="14"/>
  <c r="N113" i="14"/>
  <c r="N121" i="14"/>
  <c r="N129" i="14"/>
  <c r="N137" i="14"/>
  <c r="N145" i="14"/>
  <c r="N161" i="14"/>
  <c r="N169" i="14"/>
  <c r="N177" i="14"/>
  <c r="N185" i="14"/>
  <c r="N75" i="14"/>
  <c r="N96" i="14"/>
  <c r="N102" i="14"/>
  <c r="N110" i="14"/>
  <c r="N118" i="14"/>
  <c r="N126" i="14"/>
  <c r="N134" i="14"/>
  <c r="N142" i="14"/>
  <c r="N150" i="14"/>
  <c r="N158" i="14"/>
  <c r="N166" i="14"/>
  <c r="N174" i="14"/>
  <c r="N182" i="14"/>
  <c r="N73" i="14"/>
  <c r="N107" i="14"/>
  <c r="N115" i="14"/>
  <c r="N123" i="14"/>
  <c r="N131" i="14"/>
  <c r="N139" i="14"/>
  <c r="N147" i="14"/>
  <c r="N155" i="14"/>
  <c r="N163" i="14"/>
  <c r="N171" i="14"/>
  <c r="N179" i="14"/>
  <c r="N54" i="14"/>
  <c r="N83" i="14"/>
  <c r="N104" i="14"/>
  <c r="N112" i="14"/>
  <c r="N120" i="14"/>
  <c r="N128" i="14"/>
  <c r="N136" i="14"/>
  <c r="N144" i="14"/>
  <c r="N152" i="14"/>
  <c r="N160" i="14"/>
  <c r="N168" i="14"/>
  <c r="N176" i="14"/>
  <c r="N184" i="14"/>
  <c r="N116" i="14"/>
  <c r="N149" i="14"/>
  <c r="N162" i="14"/>
  <c r="N180" i="14"/>
  <c r="N195" i="14"/>
  <c r="N203" i="14"/>
  <c r="N211" i="14"/>
  <c r="N219" i="14"/>
  <c r="N227" i="14"/>
  <c r="N235" i="14"/>
  <c r="N243" i="14"/>
  <c r="N108" i="14"/>
  <c r="N141" i="14"/>
  <c r="N154" i="14"/>
  <c r="N172" i="14"/>
  <c r="N192" i="14"/>
  <c r="N200" i="14"/>
  <c r="N208" i="14"/>
  <c r="N216" i="14"/>
  <c r="N224" i="14"/>
  <c r="N232" i="14"/>
  <c r="N240" i="14"/>
  <c r="N100" i="14"/>
  <c r="N133" i="14"/>
  <c r="N146" i="14"/>
  <c r="N164" i="14"/>
  <c r="N187" i="14"/>
  <c r="N189" i="14"/>
  <c r="N197" i="14"/>
  <c r="N205" i="14"/>
  <c r="N213" i="14"/>
  <c r="N221" i="14"/>
  <c r="N229" i="14"/>
  <c r="N237" i="14"/>
  <c r="N245" i="14"/>
  <c r="N91" i="14"/>
  <c r="N125" i="14"/>
  <c r="N138" i="14"/>
  <c r="N156" i="14"/>
  <c r="N194" i="14"/>
  <c r="N202" i="14"/>
  <c r="N210" i="14"/>
  <c r="N218" i="14"/>
  <c r="N226" i="14"/>
  <c r="N234" i="14"/>
  <c r="N242" i="14"/>
  <c r="N250" i="14"/>
  <c r="N59" i="14"/>
  <c r="N117" i="14"/>
  <c r="N130" i="14"/>
  <c r="N148" i="14"/>
  <c r="N181" i="14"/>
  <c r="N191" i="14"/>
  <c r="N199" i="14"/>
  <c r="N207" i="14"/>
  <c r="N215" i="14"/>
  <c r="N223" i="14"/>
  <c r="N231" i="14"/>
  <c r="N239" i="14"/>
  <c r="N247" i="14"/>
  <c r="N97" i="14"/>
  <c r="N109" i="14"/>
  <c r="N122" i="14"/>
  <c r="N140" i="14"/>
  <c r="N173" i="14"/>
  <c r="N186" i="14"/>
  <c r="N188" i="14"/>
  <c r="N196" i="14"/>
  <c r="N204" i="14"/>
  <c r="N212" i="14"/>
  <c r="N220" i="14"/>
  <c r="N228" i="14"/>
  <c r="N236" i="14"/>
  <c r="N244" i="14"/>
  <c r="N106" i="14"/>
  <c r="N124" i="14"/>
  <c r="N157" i="14"/>
  <c r="N170" i="14"/>
  <c r="N190" i="14"/>
  <c r="N198" i="14"/>
  <c r="N206" i="14"/>
  <c r="N214" i="14"/>
  <c r="N222" i="14"/>
  <c r="N230" i="14"/>
  <c r="N238" i="14"/>
  <c r="N246" i="14"/>
  <c r="N241" i="14"/>
  <c r="N249" i="14"/>
  <c r="N252" i="14"/>
  <c r="N254" i="14"/>
  <c r="N262" i="14"/>
  <c r="N270" i="14"/>
  <c r="N278" i="14"/>
  <c r="N114" i="14"/>
  <c r="N282" i="14"/>
  <c r="N273" i="14"/>
  <c r="N217" i="14"/>
  <c r="N259" i="14"/>
  <c r="N267" i="14"/>
  <c r="N275" i="14"/>
  <c r="N209" i="14"/>
  <c r="N46" i="14"/>
  <c r="N193" i="14"/>
  <c r="N256" i="14"/>
  <c r="N272" i="14"/>
  <c r="N280" i="14"/>
  <c r="N67" i="14"/>
  <c r="N248" i="14"/>
  <c r="N274" i="14"/>
  <c r="N165" i="14"/>
  <c r="N233" i="14"/>
  <c r="N253" i="14"/>
  <c r="N261" i="14"/>
  <c r="N269" i="14"/>
  <c r="N277" i="14"/>
  <c r="N101" i="14"/>
  <c r="N251" i="14"/>
  <c r="N258" i="14"/>
  <c r="N266" i="14"/>
  <c r="N255" i="14"/>
  <c r="N263" i="14"/>
  <c r="N271" i="14"/>
  <c r="N279" i="14"/>
  <c r="N260" i="14"/>
  <c r="N268" i="14"/>
  <c r="N132" i="14"/>
  <c r="N201" i="14"/>
  <c r="N265" i="14"/>
  <c r="N281" i="14"/>
  <c r="N81" i="14"/>
  <c r="N225" i="14"/>
  <c r="N276" i="14"/>
  <c r="N257" i="14"/>
  <c r="G9" i="14"/>
  <c r="G17" i="14"/>
  <c r="G25" i="14"/>
  <c r="G33" i="14"/>
  <c r="G6" i="14"/>
  <c r="G14" i="14"/>
  <c r="G22" i="14"/>
  <c r="G30" i="14"/>
  <c r="G38" i="14"/>
  <c r="G46" i="14"/>
  <c r="G54" i="14"/>
  <c r="G19" i="14"/>
  <c r="G27" i="14"/>
  <c r="G35" i="14"/>
  <c r="G43" i="14"/>
  <c r="G51" i="14"/>
  <c r="G24" i="14"/>
  <c r="G32" i="14"/>
  <c r="G40" i="14"/>
  <c r="G48" i="14"/>
  <c r="G56" i="14"/>
  <c r="G5" i="14"/>
  <c r="G13" i="14"/>
  <c r="G21" i="14"/>
  <c r="G29" i="14"/>
  <c r="G37" i="14"/>
  <c r="G45" i="14"/>
  <c r="G53" i="14"/>
  <c r="G10" i="14"/>
  <c r="G18" i="14"/>
  <c r="G26" i="14"/>
  <c r="G42" i="14"/>
  <c r="G50" i="14"/>
  <c r="G12" i="14"/>
  <c r="G20" i="14"/>
  <c r="G28" i="14"/>
  <c r="G36" i="14"/>
  <c r="G44" i="14"/>
  <c r="G52" i="14"/>
  <c r="G47" i="14"/>
  <c r="G65" i="14"/>
  <c r="G73" i="14"/>
  <c r="G81" i="14"/>
  <c r="G89" i="14"/>
  <c r="G97" i="14"/>
  <c r="G15" i="14"/>
  <c r="G55" i="14"/>
  <c r="G59" i="14"/>
  <c r="G67" i="14"/>
  <c r="G75" i="14"/>
  <c r="G83" i="14"/>
  <c r="G91" i="14"/>
  <c r="G64" i="14"/>
  <c r="G72" i="14"/>
  <c r="G80" i="14"/>
  <c r="G88" i="14"/>
  <c r="G31" i="14"/>
  <c r="G61" i="14"/>
  <c r="G69" i="14"/>
  <c r="G77" i="14"/>
  <c r="G85" i="14"/>
  <c r="G7" i="14"/>
  <c r="G66" i="14"/>
  <c r="G74" i="14"/>
  <c r="G82" i="14"/>
  <c r="G90" i="14"/>
  <c r="G39" i="14"/>
  <c r="G63" i="14"/>
  <c r="G71" i="14"/>
  <c r="G79" i="14"/>
  <c r="G87" i="14"/>
  <c r="G23" i="14"/>
  <c r="G49" i="14"/>
  <c r="G60" i="14"/>
  <c r="G92" i="14"/>
  <c r="G106" i="14"/>
  <c r="G114" i="14"/>
  <c r="G122" i="14"/>
  <c r="G130" i="14"/>
  <c r="G138" i="14"/>
  <c r="G146" i="14"/>
  <c r="G154" i="14"/>
  <c r="G162" i="14"/>
  <c r="G170" i="14"/>
  <c r="G186" i="14"/>
  <c r="G68" i="14"/>
  <c r="G94" i="14"/>
  <c r="G108" i="14"/>
  <c r="G116" i="14"/>
  <c r="G124" i="14"/>
  <c r="G132" i="14"/>
  <c r="G140" i="14"/>
  <c r="G148" i="14"/>
  <c r="G156" i="14"/>
  <c r="G164" i="14"/>
  <c r="G172" i="14"/>
  <c r="G180" i="14"/>
  <c r="G78" i="14"/>
  <c r="G95" i="14"/>
  <c r="G100" i="14"/>
  <c r="G105" i="14"/>
  <c r="G113" i="14"/>
  <c r="G121" i="14"/>
  <c r="G129" i="14"/>
  <c r="G137" i="14"/>
  <c r="G145" i="14"/>
  <c r="G161" i="14"/>
  <c r="G169" i="14"/>
  <c r="G177" i="14"/>
  <c r="G185" i="14"/>
  <c r="G76" i="14"/>
  <c r="G98" i="14"/>
  <c r="G102" i="14"/>
  <c r="G110" i="14"/>
  <c r="G118" i="14"/>
  <c r="G126" i="14"/>
  <c r="G134" i="14"/>
  <c r="G142" i="14"/>
  <c r="G150" i="14"/>
  <c r="G158" i="14"/>
  <c r="G166" i="14"/>
  <c r="G174" i="14"/>
  <c r="G182" i="14"/>
  <c r="G86" i="14"/>
  <c r="G93" i="14"/>
  <c r="G96" i="14"/>
  <c r="G107" i="14"/>
  <c r="G115" i="14"/>
  <c r="G123" i="14"/>
  <c r="G131" i="14"/>
  <c r="G139" i="14"/>
  <c r="G147" i="14"/>
  <c r="G155" i="14"/>
  <c r="G163" i="14"/>
  <c r="G171" i="14"/>
  <c r="G179" i="14"/>
  <c r="G187" i="14"/>
  <c r="G120" i="14"/>
  <c r="G133" i="14"/>
  <c r="G151" i="14"/>
  <c r="G184" i="14"/>
  <c r="G190" i="14"/>
  <c r="G198" i="14"/>
  <c r="G206" i="14"/>
  <c r="G214" i="14"/>
  <c r="G222" i="14"/>
  <c r="G230" i="14"/>
  <c r="G238" i="14"/>
  <c r="G246" i="14"/>
  <c r="G57" i="14"/>
  <c r="G70" i="14"/>
  <c r="G84" i="14"/>
  <c r="G112" i="14"/>
  <c r="G125" i="14"/>
  <c r="G143" i="14"/>
  <c r="G176" i="14"/>
  <c r="G195" i="14"/>
  <c r="G203" i="14"/>
  <c r="G211" i="14"/>
  <c r="G219" i="14"/>
  <c r="G227" i="14"/>
  <c r="G235" i="14"/>
  <c r="G243" i="14"/>
  <c r="G104" i="14"/>
  <c r="G117" i="14"/>
  <c r="G135" i="14"/>
  <c r="G168" i="14"/>
  <c r="G181" i="14"/>
  <c r="G192" i="14"/>
  <c r="G200" i="14"/>
  <c r="G208" i="14"/>
  <c r="G216" i="14"/>
  <c r="G224" i="14"/>
  <c r="G232" i="14"/>
  <c r="G240" i="14"/>
  <c r="G248" i="14"/>
  <c r="G109" i="14"/>
  <c r="G127" i="14"/>
  <c r="G160" i="14"/>
  <c r="G173" i="14"/>
  <c r="G189" i="14"/>
  <c r="G197" i="14"/>
  <c r="G205" i="14"/>
  <c r="G213" i="14"/>
  <c r="G221" i="14"/>
  <c r="G229" i="14"/>
  <c r="G237" i="14"/>
  <c r="G245" i="14"/>
  <c r="G101" i="14"/>
  <c r="G119" i="14"/>
  <c r="G152" i="14"/>
  <c r="G165" i="14"/>
  <c r="G183" i="14"/>
  <c r="G194" i="14"/>
  <c r="G202" i="14"/>
  <c r="G210" i="14"/>
  <c r="G218" i="14"/>
  <c r="G226" i="14"/>
  <c r="G234" i="14"/>
  <c r="G242" i="14"/>
  <c r="G250" i="14"/>
  <c r="G111" i="14"/>
  <c r="G144" i="14"/>
  <c r="G157" i="14"/>
  <c r="G175" i="14"/>
  <c r="G191" i="14"/>
  <c r="G199" i="14"/>
  <c r="G207" i="14"/>
  <c r="G215" i="14"/>
  <c r="G223" i="14"/>
  <c r="G231" i="14"/>
  <c r="G239" i="14"/>
  <c r="G247" i="14"/>
  <c r="G62" i="14"/>
  <c r="G128" i="14"/>
  <c r="G141" i="14"/>
  <c r="G159" i="14"/>
  <c r="G193" i="14"/>
  <c r="G201" i="14"/>
  <c r="G209" i="14"/>
  <c r="G217" i="14"/>
  <c r="G225" i="14"/>
  <c r="G233" i="14"/>
  <c r="G241" i="14"/>
  <c r="G249" i="14"/>
  <c r="G212" i="14"/>
  <c r="G257" i="14"/>
  <c r="G265" i="14"/>
  <c r="G273" i="14"/>
  <c r="G281" i="14"/>
  <c r="G244" i="14"/>
  <c r="G136" i="14"/>
  <c r="G149" i="14"/>
  <c r="G188" i="14"/>
  <c r="G254" i="14"/>
  <c r="G262" i="14"/>
  <c r="G270" i="14"/>
  <c r="G278" i="14"/>
  <c r="G261" i="14"/>
  <c r="G228" i="14"/>
  <c r="G252" i="14"/>
  <c r="G259" i="14"/>
  <c r="G267" i="14"/>
  <c r="G275" i="14"/>
  <c r="G167" i="14"/>
  <c r="G269" i="14"/>
  <c r="G277" i="14"/>
  <c r="G276" i="14"/>
  <c r="G204" i="14"/>
  <c r="G256" i="14"/>
  <c r="G272" i="14"/>
  <c r="G280" i="14"/>
  <c r="G103" i="14"/>
  <c r="G220" i="14"/>
  <c r="G253" i="14"/>
  <c r="G258" i="14"/>
  <c r="G266" i="14"/>
  <c r="G274" i="14"/>
  <c r="G255" i="14"/>
  <c r="G263" i="14"/>
  <c r="G271" i="14"/>
  <c r="G251" i="14"/>
  <c r="G268" i="14"/>
  <c r="G196" i="14"/>
  <c r="G279" i="14"/>
  <c r="G236" i="14"/>
  <c r="G260" i="14"/>
  <c r="H12" i="14"/>
  <c r="H20" i="14"/>
  <c r="H28" i="14"/>
  <c r="H9" i="14"/>
  <c r="H17" i="14"/>
  <c r="H25" i="14"/>
  <c r="H33" i="14"/>
  <c r="H49" i="14"/>
  <c r="H57" i="14"/>
  <c r="H6" i="14"/>
  <c r="H14" i="14"/>
  <c r="H22" i="14"/>
  <c r="H30" i="14"/>
  <c r="H38" i="14"/>
  <c r="H46" i="14"/>
  <c r="H54" i="14"/>
  <c r="H19" i="14"/>
  <c r="H27" i="14"/>
  <c r="H35" i="14"/>
  <c r="H43" i="14"/>
  <c r="H51" i="14"/>
  <c r="H24" i="14"/>
  <c r="H32" i="14"/>
  <c r="H40" i="14"/>
  <c r="H48" i="14"/>
  <c r="H56" i="14"/>
  <c r="H5" i="14"/>
  <c r="H13" i="14"/>
  <c r="H21" i="14"/>
  <c r="H29" i="14"/>
  <c r="H37" i="14"/>
  <c r="H45" i="14"/>
  <c r="H53" i="14"/>
  <c r="H7" i="14"/>
  <c r="H15" i="14"/>
  <c r="H23" i="14"/>
  <c r="H31" i="14"/>
  <c r="H39" i="14"/>
  <c r="H47" i="14"/>
  <c r="H55" i="14"/>
  <c r="H42" i="14"/>
  <c r="H60" i="14"/>
  <c r="H68" i="14"/>
  <c r="H76" i="14"/>
  <c r="H84" i="14"/>
  <c r="H92" i="14"/>
  <c r="H100" i="14"/>
  <c r="H10" i="14"/>
  <c r="H50" i="14"/>
  <c r="H62" i="14"/>
  <c r="H70" i="14"/>
  <c r="H78" i="14"/>
  <c r="H86" i="14"/>
  <c r="H59" i="14"/>
  <c r="H67" i="14"/>
  <c r="H75" i="14"/>
  <c r="H83" i="14"/>
  <c r="H91" i="14"/>
  <c r="H26" i="14"/>
  <c r="H64" i="14"/>
  <c r="H72" i="14"/>
  <c r="H80" i="14"/>
  <c r="H88" i="14"/>
  <c r="H36" i="14"/>
  <c r="H61" i="14"/>
  <c r="H69" i="14"/>
  <c r="H77" i="14"/>
  <c r="H85" i="14"/>
  <c r="H93" i="14"/>
  <c r="H66" i="14"/>
  <c r="H74" i="14"/>
  <c r="H82" i="14"/>
  <c r="H90" i="14"/>
  <c r="H87" i="14"/>
  <c r="H101" i="14"/>
  <c r="H109" i="14"/>
  <c r="H117" i="14"/>
  <c r="H125" i="14"/>
  <c r="H133" i="14"/>
  <c r="H141" i="14"/>
  <c r="H149" i="14"/>
  <c r="H157" i="14"/>
  <c r="H165" i="14"/>
  <c r="H173" i="14"/>
  <c r="H181" i="14"/>
  <c r="H63" i="14"/>
  <c r="H103" i="14"/>
  <c r="H111" i="14"/>
  <c r="H119" i="14"/>
  <c r="H127" i="14"/>
  <c r="H135" i="14"/>
  <c r="H143" i="14"/>
  <c r="H151" i="14"/>
  <c r="H159" i="14"/>
  <c r="H167" i="14"/>
  <c r="H175" i="14"/>
  <c r="H183" i="14"/>
  <c r="H52" i="14"/>
  <c r="H73" i="14"/>
  <c r="H94" i="14"/>
  <c r="H108" i="14"/>
  <c r="H116" i="14"/>
  <c r="H124" i="14"/>
  <c r="H132" i="14"/>
  <c r="H140" i="14"/>
  <c r="H148" i="14"/>
  <c r="H156" i="14"/>
  <c r="H164" i="14"/>
  <c r="H172" i="14"/>
  <c r="H180" i="14"/>
  <c r="H44" i="14"/>
  <c r="H71" i="14"/>
  <c r="H95" i="14"/>
  <c r="H105" i="14"/>
  <c r="H113" i="14"/>
  <c r="H121" i="14"/>
  <c r="H129" i="14"/>
  <c r="H137" i="14"/>
  <c r="H145" i="14"/>
  <c r="H161" i="14"/>
  <c r="H169" i="14"/>
  <c r="H177" i="14"/>
  <c r="H185" i="14"/>
  <c r="H81" i="14"/>
  <c r="H98" i="14"/>
  <c r="H102" i="14"/>
  <c r="H110" i="14"/>
  <c r="H118" i="14"/>
  <c r="H126" i="14"/>
  <c r="H134" i="14"/>
  <c r="H142" i="14"/>
  <c r="H150" i="14"/>
  <c r="H158" i="14"/>
  <c r="H166" i="14"/>
  <c r="H174" i="14"/>
  <c r="H182" i="14"/>
  <c r="H89" i="14"/>
  <c r="H115" i="14"/>
  <c r="H128" i="14"/>
  <c r="H146" i="14"/>
  <c r="H179" i="14"/>
  <c r="H193" i="14"/>
  <c r="H201" i="14"/>
  <c r="H209" i="14"/>
  <c r="H217" i="14"/>
  <c r="H225" i="14"/>
  <c r="H233" i="14"/>
  <c r="H241" i="14"/>
  <c r="H249" i="14"/>
  <c r="H107" i="14"/>
  <c r="H120" i="14"/>
  <c r="H138" i="14"/>
  <c r="H171" i="14"/>
  <c r="H184" i="14"/>
  <c r="H190" i="14"/>
  <c r="H198" i="14"/>
  <c r="H206" i="14"/>
  <c r="H214" i="14"/>
  <c r="H222" i="14"/>
  <c r="H230" i="14"/>
  <c r="H238" i="14"/>
  <c r="H246" i="14"/>
  <c r="H18" i="14"/>
  <c r="H112" i="14"/>
  <c r="H130" i="14"/>
  <c r="H163" i="14"/>
  <c r="H176" i="14"/>
  <c r="H195" i="14"/>
  <c r="H203" i="14"/>
  <c r="H211" i="14"/>
  <c r="H219" i="14"/>
  <c r="H227" i="14"/>
  <c r="H235" i="14"/>
  <c r="H243" i="14"/>
  <c r="H65" i="14"/>
  <c r="H79" i="14"/>
  <c r="H97" i="14"/>
  <c r="H104" i="14"/>
  <c r="H122" i="14"/>
  <c r="H155" i="14"/>
  <c r="H168" i="14"/>
  <c r="H186" i="14"/>
  <c r="H192" i="14"/>
  <c r="H200" i="14"/>
  <c r="H208" i="14"/>
  <c r="H216" i="14"/>
  <c r="H224" i="14"/>
  <c r="H232" i="14"/>
  <c r="H240" i="14"/>
  <c r="H248" i="14"/>
  <c r="H114" i="14"/>
  <c r="H147" i="14"/>
  <c r="H160" i="14"/>
  <c r="H189" i="14"/>
  <c r="H197" i="14"/>
  <c r="H205" i="14"/>
  <c r="H213" i="14"/>
  <c r="H221" i="14"/>
  <c r="H229" i="14"/>
  <c r="H237" i="14"/>
  <c r="H245" i="14"/>
  <c r="H106" i="14"/>
  <c r="H139" i="14"/>
  <c r="H152" i="14"/>
  <c r="H170" i="14"/>
  <c r="H194" i="14"/>
  <c r="H202" i="14"/>
  <c r="H210" i="14"/>
  <c r="H218" i="14"/>
  <c r="H226" i="14"/>
  <c r="H234" i="14"/>
  <c r="H242" i="14"/>
  <c r="H250" i="14"/>
  <c r="H123" i="14"/>
  <c r="H136" i="14"/>
  <c r="H154" i="14"/>
  <c r="H187" i="14"/>
  <c r="H188" i="14"/>
  <c r="H196" i="14"/>
  <c r="H204" i="14"/>
  <c r="H212" i="14"/>
  <c r="H220" i="14"/>
  <c r="H228" i="14"/>
  <c r="H236" i="14"/>
  <c r="H244" i="14"/>
  <c r="H252" i="14"/>
  <c r="H207" i="14"/>
  <c r="H251" i="14"/>
  <c r="H260" i="14"/>
  <c r="H268" i="14"/>
  <c r="H276" i="14"/>
  <c r="H256" i="14"/>
  <c r="H96" i="14"/>
  <c r="H162" i="14"/>
  <c r="H247" i="14"/>
  <c r="H257" i="14"/>
  <c r="H265" i="14"/>
  <c r="H273" i="14"/>
  <c r="H281" i="14"/>
  <c r="H280" i="14"/>
  <c r="H279" i="14"/>
  <c r="H223" i="14"/>
  <c r="H254" i="14"/>
  <c r="H262" i="14"/>
  <c r="H270" i="14"/>
  <c r="H278" i="14"/>
  <c r="H272" i="14"/>
  <c r="H199" i="14"/>
  <c r="H259" i="14"/>
  <c r="H267" i="14"/>
  <c r="H275" i="14"/>
  <c r="H239" i="14"/>
  <c r="H215" i="14"/>
  <c r="H261" i="14"/>
  <c r="H269" i="14"/>
  <c r="H277" i="14"/>
  <c r="H258" i="14"/>
  <c r="H266" i="14"/>
  <c r="H274" i="14"/>
  <c r="H282" i="14"/>
  <c r="H231" i="14"/>
  <c r="H263" i="14"/>
  <c r="H131" i="14"/>
  <c r="H144" i="14"/>
  <c r="H191" i="14"/>
  <c r="H253" i="14"/>
  <c r="H255" i="14"/>
  <c r="H271" i="14"/>
  <c r="E27" i="14"/>
  <c r="E35" i="14"/>
  <c r="E24" i="14"/>
  <c r="E32" i="14"/>
  <c r="E40" i="14"/>
  <c r="E48" i="14"/>
  <c r="E56" i="14"/>
  <c r="E5" i="14"/>
  <c r="E21" i="14"/>
  <c r="E29" i="14"/>
  <c r="E37" i="14"/>
  <c r="E53" i="14"/>
  <c r="E10" i="14"/>
  <c r="E18" i="14"/>
  <c r="E26" i="14"/>
  <c r="E42" i="14"/>
  <c r="E50" i="14"/>
  <c r="E7" i="14"/>
  <c r="E15" i="14"/>
  <c r="E23" i="14"/>
  <c r="E31" i="14"/>
  <c r="E39" i="14"/>
  <c r="E47" i="14"/>
  <c r="E55" i="14"/>
  <c r="E12" i="14"/>
  <c r="E20" i="14"/>
  <c r="E28" i="14"/>
  <c r="E36" i="14"/>
  <c r="E44" i="14"/>
  <c r="E52" i="14"/>
  <c r="E6" i="14"/>
  <c r="E14" i="14"/>
  <c r="E22" i="14"/>
  <c r="E30" i="14"/>
  <c r="E46" i="14"/>
  <c r="E54" i="14"/>
  <c r="E9" i="14"/>
  <c r="E59" i="14"/>
  <c r="E67" i="14"/>
  <c r="E75" i="14"/>
  <c r="E91" i="14"/>
  <c r="E25" i="14"/>
  <c r="E61" i="14"/>
  <c r="E85" i="14"/>
  <c r="E93" i="14"/>
  <c r="E66" i="14"/>
  <c r="E74" i="14"/>
  <c r="E82" i="14"/>
  <c r="E90" i="14"/>
  <c r="E63" i="14"/>
  <c r="E71" i="14"/>
  <c r="E87" i="14"/>
  <c r="E17" i="14"/>
  <c r="E51" i="14"/>
  <c r="E68" i="14"/>
  <c r="E76" i="14"/>
  <c r="E84" i="14"/>
  <c r="E92" i="14"/>
  <c r="E49" i="14"/>
  <c r="E65" i="14"/>
  <c r="E73" i="14"/>
  <c r="E81" i="14"/>
  <c r="E70" i="14"/>
  <c r="E108" i="14"/>
  <c r="E116" i="14"/>
  <c r="E124" i="14"/>
  <c r="E132" i="14"/>
  <c r="E140" i="14"/>
  <c r="E148" i="14"/>
  <c r="E156" i="14"/>
  <c r="E164" i="14"/>
  <c r="E172" i="14"/>
  <c r="E180" i="14"/>
  <c r="E188" i="14"/>
  <c r="E78" i="14"/>
  <c r="E98" i="14"/>
  <c r="E102" i="14"/>
  <c r="E110" i="14"/>
  <c r="E118" i="14"/>
  <c r="E134" i="14"/>
  <c r="E142" i="14"/>
  <c r="E150" i="14"/>
  <c r="E158" i="14"/>
  <c r="E174" i="14"/>
  <c r="E182" i="14"/>
  <c r="E88" i="14"/>
  <c r="E107" i="14"/>
  <c r="E115" i="14"/>
  <c r="E123" i="14"/>
  <c r="E131" i="14"/>
  <c r="E139" i="14"/>
  <c r="E155" i="14"/>
  <c r="E163" i="14"/>
  <c r="E171" i="14"/>
  <c r="E187" i="14"/>
  <c r="E33" i="14"/>
  <c r="E86" i="14"/>
  <c r="E104" i="14"/>
  <c r="E112" i="14"/>
  <c r="E120" i="14"/>
  <c r="E128" i="14"/>
  <c r="E136" i="14"/>
  <c r="E144" i="14"/>
  <c r="E152" i="14"/>
  <c r="E168" i="14"/>
  <c r="E184" i="14"/>
  <c r="E64" i="14"/>
  <c r="E101" i="14"/>
  <c r="E109" i="14"/>
  <c r="E117" i="14"/>
  <c r="E125" i="14"/>
  <c r="E133" i="14"/>
  <c r="E141" i="14"/>
  <c r="E149" i="14"/>
  <c r="E157" i="14"/>
  <c r="E165" i="14"/>
  <c r="E173" i="14"/>
  <c r="E181" i="14"/>
  <c r="E130" i="14"/>
  <c r="E143" i="14"/>
  <c r="E161" i="14"/>
  <c r="E192" i="14"/>
  <c r="E200" i="14"/>
  <c r="E208" i="14"/>
  <c r="E216" i="14"/>
  <c r="E224" i="14"/>
  <c r="E232" i="14"/>
  <c r="E240" i="14"/>
  <c r="E248" i="14"/>
  <c r="E122" i="14"/>
  <c r="E135" i="14"/>
  <c r="E186" i="14"/>
  <c r="E189" i="14"/>
  <c r="E197" i="14"/>
  <c r="E205" i="14"/>
  <c r="E213" i="14"/>
  <c r="E221" i="14"/>
  <c r="E229" i="14"/>
  <c r="E95" i="14"/>
  <c r="E97" i="14"/>
  <c r="E114" i="14"/>
  <c r="E127" i="14"/>
  <c r="E145" i="14"/>
  <c r="E194" i="14"/>
  <c r="E202" i="14"/>
  <c r="E210" i="14"/>
  <c r="E218" i="14"/>
  <c r="E226" i="14"/>
  <c r="E234" i="14"/>
  <c r="E137" i="14"/>
  <c r="E170" i="14"/>
  <c r="E183" i="14"/>
  <c r="E191" i="14"/>
  <c r="E199" i="14"/>
  <c r="E207" i="14"/>
  <c r="E215" i="14"/>
  <c r="E223" i="14"/>
  <c r="E231" i="14"/>
  <c r="E239" i="14"/>
  <c r="E247" i="14"/>
  <c r="E111" i="14"/>
  <c r="E129" i="14"/>
  <c r="E162" i="14"/>
  <c r="E175" i="14"/>
  <c r="E196" i="14"/>
  <c r="E204" i="14"/>
  <c r="E212" i="14"/>
  <c r="E220" i="14"/>
  <c r="E228" i="14"/>
  <c r="E236" i="14"/>
  <c r="E80" i="14"/>
  <c r="E103" i="14"/>
  <c r="E121" i="14"/>
  <c r="E167" i="14"/>
  <c r="E185" i="14"/>
  <c r="E193" i="14"/>
  <c r="E201" i="14"/>
  <c r="E217" i="14"/>
  <c r="E225" i="14"/>
  <c r="E233" i="14"/>
  <c r="E241" i="14"/>
  <c r="E249" i="14"/>
  <c r="E94" i="14"/>
  <c r="E105" i="14"/>
  <c r="E138" i="14"/>
  <c r="E151" i="14"/>
  <c r="E169" i="14"/>
  <c r="E195" i="14"/>
  <c r="E211" i="14"/>
  <c r="E219" i="14"/>
  <c r="E227" i="14"/>
  <c r="E235" i="14"/>
  <c r="E243" i="14"/>
  <c r="E251" i="14"/>
  <c r="E222" i="14"/>
  <c r="E259" i="14"/>
  <c r="E267" i="14"/>
  <c r="E275" i="14"/>
  <c r="E271" i="14"/>
  <c r="E278" i="14"/>
  <c r="E198" i="14"/>
  <c r="E256" i="14"/>
  <c r="E272" i="14"/>
  <c r="E280" i="14"/>
  <c r="E190" i="14"/>
  <c r="E177" i="14"/>
  <c r="E238" i="14"/>
  <c r="E250" i="14"/>
  <c r="E269" i="14"/>
  <c r="E277" i="14"/>
  <c r="E263" i="14"/>
  <c r="E62" i="14"/>
  <c r="E113" i="14"/>
  <c r="E253" i="14"/>
  <c r="E258" i="14"/>
  <c r="E266" i="14"/>
  <c r="E274" i="14"/>
  <c r="E279" i="14"/>
  <c r="E230" i="14"/>
  <c r="E268" i="14"/>
  <c r="E276" i="14"/>
  <c r="E257" i="14"/>
  <c r="E281" i="14"/>
  <c r="E146" i="14"/>
  <c r="E246" i="14"/>
  <c r="E262" i="14"/>
  <c r="E206" i="14"/>
  <c r="E265" i="14"/>
  <c r="E273" i="14"/>
  <c r="E159" i="14"/>
  <c r="E270" i="14"/>
  <c r="J10" i="14"/>
  <c r="J18" i="14"/>
  <c r="J26" i="14"/>
  <c r="J7" i="14"/>
  <c r="J15" i="14"/>
  <c r="J23" i="14"/>
  <c r="J31" i="14"/>
  <c r="J39" i="14"/>
  <c r="J47" i="14"/>
  <c r="J55" i="14"/>
  <c r="J12" i="14"/>
  <c r="J20" i="14"/>
  <c r="J28" i="14"/>
  <c r="J36" i="14"/>
  <c r="J44" i="14"/>
  <c r="J52" i="14"/>
  <c r="J9" i="14"/>
  <c r="J17" i="14"/>
  <c r="J25" i="14"/>
  <c r="J33" i="14"/>
  <c r="J49" i="14"/>
  <c r="J6" i="14"/>
  <c r="J14" i="14"/>
  <c r="J22" i="14"/>
  <c r="J30" i="14"/>
  <c r="J38" i="14"/>
  <c r="J46" i="14"/>
  <c r="J54" i="14"/>
  <c r="J19" i="14"/>
  <c r="J27" i="14"/>
  <c r="J35" i="14"/>
  <c r="J43" i="14"/>
  <c r="J51" i="14"/>
  <c r="J5" i="14"/>
  <c r="J13" i="14"/>
  <c r="J21" i="14"/>
  <c r="J29" i="14"/>
  <c r="J37" i="14"/>
  <c r="J45" i="14"/>
  <c r="J53" i="14"/>
  <c r="J66" i="14"/>
  <c r="J74" i="14"/>
  <c r="J82" i="14"/>
  <c r="J90" i="14"/>
  <c r="J98" i="14"/>
  <c r="J40" i="14"/>
  <c r="J60" i="14"/>
  <c r="J68" i="14"/>
  <c r="J76" i="14"/>
  <c r="J84" i="14"/>
  <c r="J92" i="14"/>
  <c r="J50" i="14"/>
  <c r="J57" i="14"/>
  <c r="J65" i="14"/>
  <c r="J73" i="14"/>
  <c r="J81" i="14"/>
  <c r="J89" i="14"/>
  <c r="J48" i="14"/>
  <c r="J62" i="14"/>
  <c r="J70" i="14"/>
  <c r="J78" i="14"/>
  <c r="J86" i="14"/>
  <c r="J59" i="14"/>
  <c r="J67" i="14"/>
  <c r="J75" i="14"/>
  <c r="J83" i="14"/>
  <c r="J91" i="14"/>
  <c r="J32" i="14"/>
  <c r="J56" i="14"/>
  <c r="J64" i="14"/>
  <c r="J72" i="14"/>
  <c r="J80" i="14"/>
  <c r="J88" i="14"/>
  <c r="J77" i="14"/>
  <c r="J96" i="14"/>
  <c r="J107" i="14"/>
  <c r="J115" i="14"/>
  <c r="J123" i="14"/>
  <c r="J131" i="14"/>
  <c r="J139" i="14"/>
  <c r="J147" i="14"/>
  <c r="J155" i="14"/>
  <c r="J163" i="14"/>
  <c r="J171" i="14"/>
  <c r="J179" i="14"/>
  <c r="J187" i="14"/>
  <c r="J24" i="14"/>
  <c r="J85" i="14"/>
  <c r="J101" i="14"/>
  <c r="J109" i="14"/>
  <c r="J117" i="14"/>
  <c r="J125" i="14"/>
  <c r="J133" i="14"/>
  <c r="J141" i="14"/>
  <c r="J149" i="14"/>
  <c r="J157" i="14"/>
  <c r="J165" i="14"/>
  <c r="J173" i="14"/>
  <c r="J181" i="14"/>
  <c r="J42" i="14"/>
  <c r="J63" i="14"/>
  <c r="J97" i="14"/>
  <c r="J106" i="14"/>
  <c r="J114" i="14"/>
  <c r="J122" i="14"/>
  <c r="J130" i="14"/>
  <c r="J138" i="14"/>
  <c r="J146" i="14"/>
  <c r="J154" i="14"/>
  <c r="J162" i="14"/>
  <c r="J170" i="14"/>
  <c r="J186" i="14"/>
  <c r="J61" i="14"/>
  <c r="J94" i="14"/>
  <c r="J103" i="14"/>
  <c r="J111" i="14"/>
  <c r="J119" i="14"/>
  <c r="J127" i="14"/>
  <c r="J135" i="14"/>
  <c r="J143" i="14"/>
  <c r="J151" i="14"/>
  <c r="J159" i="14"/>
  <c r="J167" i="14"/>
  <c r="J175" i="14"/>
  <c r="J183" i="14"/>
  <c r="J71" i="14"/>
  <c r="J95" i="14"/>
  <c r="J100" i="14"/>
  <c r="J108" i="14"/>
  <c r="J116" i="14"/>
  <c r="J124" i="14"/>
  <c r="J132" i="14"/>
  <c r="J140" i="14"/>
  <c r="J148" i="14"/>
  <c r="J156" i="14"/>
  <c r="J164" i="14"/>
  <c r="J172" i="14"/>
  <c r="J180" i="14"/>
  <c r="J105" i="14"/>
  <c r="J118" i="14"/>
  <c r="J136" i="14"/>
  <c r="J169" i="14"/>
  <c r="J182" i="14"/>
  <c r="J191" i="14"/>
  <c r="J199" i="14"/>
  <c r="J207" i="14"/>
  <c r="J215" i="14"/>
  <c r="J223" i="14"/>
  <c r="J231" i="14"/>
  <c r="J239" i="14"/>
  <c r="J247" i="14"/>
  <c r="J110" i="14"/>
  <c r="J128" i="14"/>
  <c r="J161" i="14"/>
  <c r="J174" i="14"/>
  <c r="J188" i="14"/>
  <c r="J196" i="14"/>
  <c r="J204" i="14"/>
  <c r="J212" i="14"/>
  <c r="J220" i="14"/>
  <c r="J228" i="14"/>
  <c r="J236" i="14"/>
  <c r="J244" i="14"/>
  <c r="J102" i="14"/>
  <c r="J120" i="14"/>
  <c r="J166" i="14"/>
  <c r="J184" i="14"/>
  <c r="J193" i="14"/>
  <c r="J201" i="14"/>
  <c r="J209" i="14"/>
  <c r="J217" i="14"/>
  <c r="J225" i="14"/>
  <c r="J233" i="14"/>
  <c r="J241" i="14"/>
  <c r="J112" i="14"/>
  <c r="J145" i="14"/>
  <c r="J158" i="14"/>
  <c r="J176" i="14"/>
  <c r="J190" i="14"/>
  <c r="J198" i="14"/>
  <c r="J206" i="14"/>
  <c r="J214" i="14"/>
  <c r="J222" i="14"/>
  <c r="J230" i="14"/>
  <c r="J238" i="14"/>
  <c r="J246" i="14"/>
  <c r="J79" i="14"/>
  <c r="J104" i="14"/>
  <c r="J137" i="14"/>
  <c r="J150" i="14"/>
  <c r="J168" i="14"/>
  <c r="J195" i="14"/>
  <c r="J203" i="14"/>
  <c r="J211" i="14"/>
  <c r="J219" i="14"/>
  <c r="J227" i="14"/>
  <c r="J235" i="14"/>
  <c r="J243" i="14"/>
  <c r="J93" i="14"/>
  <c r="J129" i="14"/>
  <c r="J142" i="14"/>
  <c r="J160" i="14"/>
  <c r="J192" i="14"/>
  <c r="J200" i="14"/>
  <c r="J208" i="14"/>
  <c r="J216" i="14"/>
  <c r="J224" i="14"/>
  <c r="J232" i="14"/>
  <c r="J240" i="14"/>
  <c r="J248" i="14"/>
  <c r="J69" i="14"/>
  <c r="J113" i="14"/>
  <c r="J126" i="14"/>
  <c r="J144" i="14"/>
  <c r="J177" i="14"/>
  <c r="J194" i="14"/>
  <c r="J202" i="14"/>
  <c r="J210" i="14"/>
  <c r="J218" i="14"/>
  <c r="J226" i="14"/>
  <c r="J234" i="14"/>
  <c r="J242" i="14"/>
  <c r="J250" i="14"/>
  <c r="J121" i="14"/>
  <c r="J134" i="14"/>
  <c r="J197" i="14"/>
  <c r="J253" i="14"/>
  <c r="J258" i="14"/>
  <c r="J266" i="14"/>
  <c r="J274" i="14"/>
  <c r="J282" i="14"/>
  <c r="J252" i="14"/>
  <c r="J254" i="14"/>
  <c r="J262" i="14"/>
  <c r="J278" i="14"/>
  <c r="J237" i="14"/>
  <c r="J255" i="14"/>
  <c r="J263" i="14"/>
  <c r="J271" i="14"/>
  <c r="J279" i="14"/>
  <c r="J229" i="14"/>
  <c r="J277" i="14"/>
  <c r="J213" i="14"/>
  <c r="J251" i="14"/>
  <c r="J260" i="14"/>
  <c r="J268" i="14"/>
  <c r="J276" i="14"/>
  <c r="J152" i="14"/>
  <c r="J189" i="14"/>
  <c r="J257" i="14"/>
  <c r="J265" i="14"/>
  <c r="J273" i="14"/>
  <c r="J281" i="14"/>
  <c r="J270" i="14"/>
  <c r="J205" i="14"/>
  <c r="J259" i="14"/>
  <c r="J267" i="14"/>
  <c r="J275" i="14"/>
  <c r="J256" i="14"/>
  <c r="J272" i="14"/>
  <c r="J87" i="14"/>
  <c r="J185" i="14"/>
  <c r="J221" i="14"/>
  <c r="J249" i="14"/>
  <c r="J245" i="14"/>
  <c r="J280" i="14"/>
  <c r="J261" i="14"/>
  <c r="J269" i="14"/>
  <c r="L24" i="14"/>
  <c r="L32" i="14"/>
  <c r="L5" i="14"/>
  <c r="L13" i="14"/>
  <c r="L21" i="14"/>
  <c r="L29" i="14"/>
  <c r="L37" i="14"/>
  <c r="L45" i="14"/>
  <c r="L53" i="14"/>
  <c r="L10" i="14"/>
  <c r="L18" i="14"/>
  <c r="L26" i="14"/>
  <c r="L42" i="14"/>
  <c r="L50" i="14"/>
  <c r="L7" i="14"/>
  <c r="L15" i="14"/>
  <c r="L23" i="14"/>
  <c r="L31" i="14"/>
  <c r="L39" i="14"/>
  <c r="L47" i="14"/>
  <c r="L55" i="14"/>
  <c r="L12" i="14"/>
  <c r="L20" i="14"/>
  <c r="L28" i="14"/>
  <c r="L36" i="14"/>
  <c r="L44" i="14"/>
  <c r="L52" i="14"/>
  <c r="L9" i="14"/>
  <c r="L17" i="14"/>
  <c r="L25" i="14"/>
  <c r="L33" i="14"/>
  <c r="L49" i="14"/>
  <c r="L19" i="14"/>
  <c r="L27" i="14"/>
  <c r="L35" i="14"/>
  <c r="L43" i="14"/>
  <c r="L51" i="14"/>
  <c r="L54" i="14"/>
  <c r="L64" i="14"/>
  <c r="L72" i="14"/>
  <c r="L80" i="14"/>
  <c r="L88" i="14"/>
  <c r="L96" i="14"/>
  <c r="L66" i="14"/>
  <c r="L74" i="14"/>
  <c r="L82" i="14"/>
  <c r="L90" i="14"/>
  <c r="L30" i="14"/>
  <c r="L40" i="14"/>
  <c r="L63" i="14"/>
  <c r="L71" i="14"/>
  <c r="L79" i="14"/>
  <c r="L87" i="14"/>
  <c r="L95" i="14"/>
  <c r="L6" i="14"/>
  <c r="L38" i="14"/>
  <c r="L60" i="14"/>
  <c r="L68" i="14"/>
  <c r="L76" i="14"/>
  <c r="L84" i="14"/>
  <c r="L48" i="14"/>
  <c r="L57" i="14"/>
  <c r="L65" i="14"/>
  <c r="L73" i="14"/>
  <c r="L81" i="14"/>
  <c r="L89" i="14"/>
  <c r="L22" i="14"/>
  <c r="L46" i="14"/>
  <c r="L62" i="14"/>
  <c r="L70" i="14"/>
  <c r="L78" i="14"/>
  <c r="L86" i="14"/>
  <c r="L67" i="14"/>
  <c r="L98" i="14"/>
  <c r="L105" i="14"/>
  <c r="L113" i="14"/>
  <c r="L121" i="14"/>
  <c r="L129" i="14"/>
  <c r="L137" i="14"/>
  <c r="L145" i="14"/>
  <c r="L161" i="14"/>
  <c r="L169" i="14"/>
  <c r="L177" i="14"/>
  <c r="L185" i="14"/>
  <c r="L75" i="14"/>
  <c r="L92" i="14"/>
  <c r="L107" i="14"/>
  <c r="L115" i="14"/>
  <c r="L123" i="14"/>
  <c r="L131" i="14"/>
  <c r="L139" i="14"/>
  <c r="L147" i="14"/>
  <c r="L155" i="14"/>
  <c r="L163" i="14"/>
  <c r="L171" i="14"/>
  <c r="L179" i="14"/>
  <c r="L187" i="14"/>
  <c r="L85" i="14"/>
  <c r="L104" i="14"/>
  <c r="L112" i="14"/>
  <c r="L120" i="14"/>
  <c r="L128" i="14"/>
  <c r="L136" i="14"/>
  <c r="L144" i="14"/>
  <c r="L152" i="14"/>
  <c r="L160" i="14"/>
  <c r="L168" i="14"/>
  <c r="L176" i="14"/>
  <c r="L184" i="14"/>
  <c r="L83" i="14"/>
  <c r="L101" i="14"/>
  <c r="L109" i="14"/>
  <c r="L117" i="14"/>
  <c r="L125" i="14"/>
  <c r="L133" i="14"/>
  <c r="L141" i="14"/>
  <c r="L149" i="14"/>
  <c r="L157" i="14"/>
  <c r="L165" i="14"/>
  <c r="L173" i="14"/>
  <c r="L181" i="14"/>
  <c r="L14" i="14"/>
  <c r="L61" i="14"/>
  <c r="L94" i="14"/>
  <c r="L97" i="14"/>
  <c r="L106" i="14"/>
  <c r="L114" i="14"/>
  <c r="L122" i="14"/>
  <c r="L130" i="14"/>
  <c r="L138" i="14"/>
  <c r="L146" i="14"/>
  <c r="L154" i="14"/>
  <c r="L162" i="14"/>
  <c r="L170" i="14"/>
  <c r="L186" i="14"/>
  <c r="L56" i="14"/>
  <c r="L69" i="14"/>
  <c r="L108" i="14"/>
  <c r="L126" i="14"/>
  <c r="L159" i="14"/>
  <c r="L172" i="14"/>
  <c r="L189" i="14"/>
  <c r="L197" i="14"/>
  <c r="L205" i="14"/>
  <c r="L213" i="14"/>
  <c r="L221" i="14"/>
  <c r="L229" i="14"/>
  <c r="L237" i="14"/>
  <c r="L245" i="14"/>
  <c r="L100" i="14"/>
  <c r="L118" i="14"/>
  <c r="L151" i="14"/>
  <c r="L164" i="14"/>
  <c r="L182" i="14"/>
  <c r="L194" i="14"/>
  <c r="L202" i="14"/>
  <c r="L210" i="14"/>
  <c r="L218" i="14"/>
  <c r="L226" i="14"/>
  <c r="L234" i="14"/>
  <c r="L242" i="14"/>
  <c r="L77" i="14"/>
  <c r="L91" i="14"/>
  <c r="L110" i="14"/>
  <c r="L143" i="14"/>
  <c r="L156" i="14"/>
  <c r="L174" i="14"/>
  <c r="L191" i="14"/>
  <c r="L199" i="14"/>
  <c r="L207" i="14"/>
  <c r="L215" i="14"/>
  <c r="L223" i="14"/>
  <c r="L231" i="14"/>
  <c r="L239" i="14"/>
  <c r="L247" i="14"/>
  <c r="L59" i="14"/>
  <c r="L102" i="14"/>
  <c r="L135" i="14"/>
  <c r="L148" i="14"/>
  <c r="L166" i="14"/>
  <c r="L188" i="14"/>
  <c r="L196" i="14"/>
  <c r="L204" i="14"/>
  <c r="L212" i="14"/>
  <c r="L220" i="14"/>
  <c r="L228" i="14"/>
  <c r="L236" i="14"/>
  <c r="L244" i="14"/>
  <c r="L127" i="14"/>
  <c r="L140" i="14"/>
  <c r="L158" i="14"/>
  <c r="L193" i="14"/>
  <c r="L201" i="14"/>
  <c r="L209" i="14"/>
  <c r="L217" i="14"/>
  <c r="L225" i="14"/>
  <c r="L233" i="14"/>
  <c r="L241" i="14"/>
  <c r="L249" i="14"/>
  <c r="L119" i="14"/>
  <c r="L132" i="14"/>
  <c r="L150" i="14"/>
  <c r="L183" i="14"/>
  <c r="L190" i="14"/>
  <c r="L198" i="14"/>
  <c r="L206" i="14"/>
  <c r="L214" i="14"/>
  <c r="L222" i="14"/>
  <c r="L230" i="14"/>
  <c r="L238" i="14"/>
  <c r="L246" i="14"/>
  <c r="L103" i="14"/>
  <c r="L116" i="14"/>
  <c r="L134" i="14"/>
  <c r="L167" i="14"/>
  <c r="L180" i="14"/>
  <c r="L192" i="14"/>
  <c r="L200" i="14"/>
  <c r="L208" i="14"/>
  <c r="L216" i="14"/>
  <c r="L224" i="14"/>
  <c r="L232" i="14"/>
  <c r="L240" i="14"/>
  <c r="L248" i="14"/>
  <c r="L93" i="14"/>
  <c r="L256" i="14"/>
  <c r="L272" i="14"/>
  <c r="L280" i="14"/>
  <c r="L268" i="14"/>
  <c r="L175" i="14"/>
  <c r="L227" i="14"/>
  <c r="L253" i="14"/>
  <c r="L261" i="14"/>
  <c r="L269" i="14"/>
  <c r="L277" i="14"/>
  <c r="L250" i="14"/>
  <c r="L111" i="14"/>
  <c r="L124" i="14"/>
  <c r="L203" i="14"/>
  <c r="L258" i="14"/>
  <c r="L266" i="14"/>
  <c r="L274" i="14"/>
  <c r="L282" i="14"/>
  <c r="L260" i="14"/>
  <c r="L243" i="14"/>
  <c r="L251" i="14"/>
  <c r="L255" i="14"/>
  <c r="L263" i="14"/>
  <c r="L271" i="14"/>
  <c r="L279" i="14"/>
  <c r="L219" i="14"/>
  <c r="L276" i="14"/>
  <c r="L142" i="14"/>
  <c r="L195" i="14"/>
  <c r="L257" i="14"/>
  <c r="L265" i="14"/>
  <c r="L273" i="14"/>
  <c r="L281" i="14"/>
  <c r="L254" i="14"/>
  <c r="L262" i="14"/>
  <c r="L278" i="14"/>
  <c r="L211" i="14"/>
  <c r="L259" i="14"/>
  <c r="L235" i="14"/>
  <c r="L252" i="14"/>
  <c r="L270" i="14"/>
  <c r="L267" i="14"/>
  <c r="L275" i="14"/>
  <c r="K5" i="14"/>
  <c r="K13" i="14"/>
  <c r="K21" i="14"/>
  <c r="K29" i="14"/>
  <c r="K10" i="14"/>
  <c r="K18" i="14"/>
  <c r="K26" i="14"/>
  <c r="K42" i="14"/>
  <c r="K50" i="14"/>
  <c r="K7" i="14"/>
  <c r="K15" i="14"/>
  <c r="K23" i="14"/>
  <c r="K31" i="14"/>
  <c r="K39" i="14"/>
  <c r="K47" i="14"/>
  <c r="K55" i="14"/>
  <c r="K12" i="14"/>
  <c r="K20" i="14"/>
  <c r="K28" i="14"/>
  <c r="K36" i="14"/>
  <c r="K44" i="14"/>
  <c r="K52" i="14"/>
  <c r="K9" i="14"/>
  <c r="K17" i="14"/>
  <c r="K25" i="14"/>
  <c r="K33" i="14"/>
  <c r="K49" i="14"/>
  <c r="K6" i="14"/>
  <c r="K14" i="14"/>
  <c r="K22" i="14"/>
  <c r="K30" i="14"/>
  <c r="K38" i="14"/>
  <c r="K46" i="14"/>
  <c r="K54" i="14"/>
  <c r="K24" i="14"/>
  <c r="K32" i="14"/>
  <c r="K40" i="14"/>
  <c r="K48" i="14"/>
  <c r="K56" i="14"/>
  <c r="K61" i="14"/>
  <c r="K69" i="14"/>
  <c r="K77" i="14"/>
  <c r="K85" i="14"/>
  <c r="K93" i="14"/>
  <c r="K63" i="14"/>
  <c r="K71" i="14"/>
  <c r="K79" i="14"/>
  <c r="K87" i="14"/>
  <c r="K35" i="14"/>
  <c r="K45" i="14"/>
  <c r="K60" i="14"/>
  <c r="K68" i="14"/>
  <c r="K76" i="14"/>
  <c r="K84" i="14"/>
  <c r="K92" i="14"/>
  <c r="K43" i="14"/>
  <c r="K57" i="14"/>
  <c r="K65" i="14"/>
  <c r="K73" i="14"/>
  <c r="K81" i="14"/>
  <c r="K89" i="14"/>
  <c r="K53" i="14"/>
  <c r="K62" i="14"/>
  <c r="K70" i="14"/>
  <c r="K78" i="14"/>
  <c r="K86" i="14"/>
  <c r="K94" i="14"/>
  <c r="K27" i="14"/>
  <c r="K51" i="14"/>
  <c r="K59" i="14"/>
  <c r="K67" i="14"/>
  <c r="K75" i="14"/>
  <c r="K83" i="14"/>
  <c r="K91" i="14"/>
  <c r="K72" i="14"/>
  <c r="K102" i="14"/>
  <c r="K110" i="14"/>
  <c r="K118" i="14"/>
  <c r="K126" i="14"/>
  <c r="K134" i="14"/>
  <c r="K142" i="14"/>
  <c r="K150" i="14"/>
  <c r="K158" i="14"/>
  <c r="K166" i="14"/>
  <c r="K174" i="14"/>
  <c r="K182" i="14"/>
  <c r="K80" i="14"/>
  <c r="K104" i="14"/>
  <c r="K112" i="14"/>
  <c r="K120" i="14"/>
  <c r="K128" i="14"/>
  <c r="K136" i="14"/>
  <c r="K144" i="14"/>
  <c r="K152" i="14"/>
  <c r="K160" i="14"/>
  <c r="K168" i="14"/>
  <c r="K176" i="14"/>
  <c r="K184" i="14"/>
  <c r="K90" i="14"/>
  <c r="K101" i="14"/>
  <c r="K109" i="14"/>
  <c r="K117" i="14"/>
  <c r="K125" i="14"/>
  <c r="K133" i="14"/>
  <c r="K141" i="14"/>
  <c r="K149" i="14"/>
  <c r="K157" i="14"/>
  <c r="K165" i="14"/>
  <c r="K173" i="14"/>
  <c r="K181" i="14"/>
  <c r="K88" i="14"/>
  <c r="K97" i="14"/>
  <c r="K106" i="14"/>
  <c r="K114" i="14"/>
  <c r="K122" i="14"/>
  <c r="K130" i="14"/>
  <c r="K138" i="14"/>
  <c r="K146" i="14"/>
  <c r="K154" i="14"/>
  <c r="K162" i="14"/>
  <c r="K170" i="14"/>
  <c r="K186" i="14"/>
  <c r="K66" i="14"/>
  <c r="K103" i="14"/>
  <c r="K111" i="14"/>
  <c r="K119" i="14"/>
  <c r="K127" i="14"/>
  <c r="K135" i="14"/>
  <c r="K143" i="14"/>
  <c r="K151" i="14"/>
  <c r="K159" i="14"/>
  <c r="K167" i="14"/>
  <c r="K175" i="14"/>
  <c r="K183" i="14"/>
  <c r="K82" i="14"/>
  <c r="K96" i="14"/>
  <c r="K98" i="14"/>
  <c r="K100" i="14"/>
  <c r="K113" i="14"/>
  <c r="K131" i="14"/>
  <c r="K164" i="14"/>
  <c r="K177" i="14"/>
  <c r="K194" i="14"/>
  <c r="K202" i="14"/>
  <c r="K210" i="14"/>
  <c r="K218" i="14"/>
  <c r="K226" i="14"/>
  <c r="K234" i="14"/>
  <c r="K242" i="14"/>
  <c r="K250" i="14"/>
  <c r="K64" i="14"/>
  <c r="K105" i="14"/>
  <c r="K123" i="14"/>
  <c r="K156" i="14"/>
  <c r="K169" i="14"/>
  <c r="K187" i="14"/>
  <c r="K191" i="14"/>
  <c r="K199" i="14"/>
  <c r="K207" i="14"/>
  <c r="K215" i="14"/>
  <c r="K223" i="14"/>
  <c r="K231" i="14"/>
  <c r="K239" i="14"/>
  <c r="K247" i="14"/>
  <c r="K115" i="14"/>
  <c r="K148" i="14"/>
  <c r="K161" i="14"/>
  <c r="K179" i="14"/>
  <c r="K188" i="14"/>
  <c r="K196" i="14"/>
  <c r="K204" i="14"/>
  <c r="K212" i="14"/>
  <c r="K220" i="14"/>
  <c r="K228" i="14"/>
  <c r="K236" i="14"/>
  <c r="K244" i="14"/>
  <c r="K19" i="14"/>
  <c r="K95" i="14"/>
  <c r="K107" i="14"/>
  <c r="K140" i="14"/>
  <c r="K171" i="14"/>
  <c r="K193" i="14"/>
  <c r="K201" i="14"/>
  <c r="K209" i="14"/>
  <c r="K217" i="14"/>
  <c r="K225" i="14"/>
  <c r="K233" i="14"/>
  <c r="K241" i="14"/>
  <c r="K249" i="14"/>
  <c r="K132" i="14"/>
  <c r="K145" i="14"/>
  <c r="K163" i="14"/>
  <c r="K190" i="14"/>
  <c r="K198" i="14"/>
  <c r="K206" i="14"/>
  <c r="K214" i="14"/>
  <c r="K222" i="14"/>
  <c r="K230" i="14"/>
  <c r="K238" i="14"/>
  <c r="K246" i="14"/>
  <c r="K37" i="14"/>
  <c r="K124" i="14"/>
  <c r="K137" i="14"/>
  <c r="K155" i="14"/>
  <c r="K195" i="14"/>
  <c r="K203" i="14"/>
  <c r="K211" i="14"/>
  <c r="K219" i="14"/>
  <c r="K227" i="14"/>
  <c r="K235" i="14"/>
  <c r="K243" i="14"/>
  <c r="K251" i="14"/>
  <c r="K108" i="14"/>
  <c r="K121" i="14"/>
  <c r="K139" i="14"/>
  <c r="K172" i="14"/>
  <c r="K185" i="14"/>
  <c r="K189" i="14"/>
  <c r="K197" i="14"/>
  <c r="K205" i="14"/>
  <c r="K213" i="14"/>
  <c r="K221" i="14"/>
  <c r="K229" i="14"/>
  <c r="K237" i="14"/>
  <c r="K245" i="14"/>
  <c r="K253" i="14"/>
  <c r="K147" i="14"/>
  <c r="K192" i="14"/>
  <c r="K261" i="14"/>
  <c r="K269" i="14"/>
  <c r="K277" i="14"/>
  <c r="K180" i="14"/>
  <c r="K224" i="14"/>
  <c r="K257" i="14"/>
  <c r="K281" i="14"/>
  <c r="K232" i="14"/>
  <c r="K258" i="14"/>
  <c r="K266" i="14"/>
  <c r="K274" i="14"/>
  <c r="K282" i="14"/>
  <c r="K265" i="14"/>
  <c r="K280" i="14"/>
  <c r="K208" i="14"/>
  <c r="K255" i="14"/>
  <c r="K263" i="14"/>
  <c r="K271" i="14"/>
  <c r="K279" i="14"/>
  <c r="K248" i="14"/>
  <c r="K260" i="14"/>
  <c r="K268" i="14"/>
  <c r="K276" i="14"/>
  <c r="K273" i="14"/>
  <c r="K74" i="14"/>
  <c r="K116" i="14"/>
  <c r="K129" i="14"/>
  <c r="K200" i="14"/>
  <c r="K252" i="14"/>
  <c r="K254" i="14"/>
  <c r="K262" i="14"/>
  <c r="K270" i="14"/>
  <c r="K278" i="14"/>
  <c r="K240" i="14"/>
  <c r="K259" i="14"/>
  <c r="K267" i="14"/>
  <c r="K216" i="14"/>
  <c r="K275" i="14"/>
  <c r="K256" i="14"/>
  <c r="K272" i="14"/>
  <c r="I7" i="14"/>
  <c r="I15" i="14"/>
  <c r="I23" i="14"/>
  <c r="I31" i="14"/>
  <c r="I12" i="14"/>
  <c r="I20" i="14"/>
  <c r="I28" i="14"/>
  <c r="I36" i="14"/>
  <c r="I44" i="14"/>
  <c r="I52" i="14"/>
  <c r="I9" i="14"/>
  <c r="I17" i="14"/>
  <c r="I25" i="14"/>
  <c r="I33" i="14"/>
  <c r="I49" i="14"/>
  <c r="I6" i="14"/>
  <c r="I14" i="14"/>
  <c r="I22" i="14"/>
  <c r="I30" i="14"/>
  <c r="I38" i="14"/>
  <c r="I46" i="14"/>
  <c r="I54" i="14"/>
  <c r="I19" i="14"/>
  <c r="I27" i="14"/>
  <c r="I35" i="14"/>
  <c r="I43" i="14"/>
  <c r="I51" i="14"/>
  <c r="I24" i="14"/>
  <c r="I32" i="14"/>
  <c r="I40" i="14"/>
  <c r="I48" i="14"/>
  <c r="I56" i="14"/>
  <c r="I10" i="14"/>
  <c r="I18" i="14"/>
  <c r="I26" i="14"/>
  <c r="I42" i="14"/>
  <c r="I50" i="14"/>
  <c r="I37" i="14"/>
  <c r="I63" i="14"/>
  <c r="I71" i="14"/>
  <c r="I79" i="14"/>
  <c r="I87" i="14"/>
  <c r="I95" i="14"/>
  <c r="I5" i="14"/>
  <c r="I45" i="14"/>
  <c r="I57" i="14"/>
  <c r="I65" i="14"/>
  <c r="I73" i="14"/>
  <c r="I81" i="14"/>
  <c r="I89" i="14"/>
  <c r="I55" i="14"/>
  <c r="I62" i="14"/>
  <c r="I70" i="14"/>
  <c r="I78" i="14"/>
  <c r="I86" i="14"/>
  <c r="I94" i="14"/>
  <c r="I21" i="14"/>
  <c r="I53" i="14"/>
  <c r="I59" i="14"/>
  <c r="I67" i="14"/>
  <c r="I75" i="14"/>
  <c r="I83" i="14"/>
  <c r="I91" i="14"/>
  <c r="I64" i="14"/>
  <c r="I72" i="14"/>
  <c r="I80" i="14"/>
  <c r="I88" i="14"/>
  <c r="I61" i="14"/>
  <c r="I69" i="14"/>
  <c r="I77" i="14"/>
  <c r="I85" i="14"/>
  <c r="I93" i="14"/>
  <c r="I39" i="14"/>
  <c r="I82" i="14"/>
  <c r="I104" i="14"/>
  <c r="I112" i="14"/>
  <c r="I120" i="14"/>
  <c r="I128" i="14"/>
  <c r="I136" i="14"/>
  <c r="I144" i="14"/>
  <c r="I152" i="14"/>
  <c r="I160" i="14"/>
  <c r="I168" i="14"/>
  <c r="I176" i="14"/>
  <c r="I184" i="14"/>
  <c r="I90" i="14"/>
  <c r="I97" i="14"/>
  <c r="I106" i="14"/>
  <c r="I114" i="14"/>
  <c r="I122" i="14"/>
  <c r="I130" i="14"/>
  <c r="I138" i="14"/>
  <c r="I146" i="14"/>
  <c r="I154" i="14"/>
  <c r="I162" i="14"/>
  <c r="I170" i="14"/>
  <c r="I186" i="14"/>
  <c r="I29" i="14"/>
  <c r="I68" i="14"/>
  <c r="I103" i="14"/>
  <c r="I111" i="14"/>
  <c r="I119" i="14"/>
  <c r="I127" i="14"/>
  <c r="I135" i="14"/>
  <c r="I143" i="14"/>
  <c r="I151" i="14"/>
  <c r="I159" i="14"/>
  <c r="I167" i="14"/>
  <c r="I175" i="14"/>
  <c r="I183" i="14"/>
  <c r="I13" i="14"/>
  <c r="I66" i="14"/>
  <c r="I100" i="14"/>
  <c r="I108" i="14"/>
  <c r="I116" i="14"/>
  <c r="I124" i="14"/>
  <c r="I132" i="14"/>
  <c r="I140" i="14"/>
  <c r="I148" i="14"/>
  <c r="I156" i="14"/>
  <c r="I164" i="14"/>
  <c r="I172" i="14"/>
  <c r="I180" i="14"/>
  <c r="I76" i="14"/>
  <c r="I105" i="14"/>
  <c r="I113" i="14"/>
  <c r="I121" i="14"/>
  <c r="I129" i="14"/>
  <c r="I137" i="14"/>
  <c r="I145" i="14"/>
  <c r="I161" i="14"/>
  <c r="I169" i="14"/>
  <c r="I177" i="14"/>
  <c r="I185" i="14"/>
  <c r="I110" i="14"/>
  <c r="I123" i="14"/>
  <c r="I141" i="14"/>
  <c r="I174" i="14"/>
  <c r="I187" i="14"/>
  <c r="I188" i="14"/>
  <c r="I196" i="14"/>
  <c r="I204" i="14"/>
  <c r="I212" i="14"/>
  <c r="I220" i="14"/>
  <c r="I228" i="14"/>
  <c r="I236" i="14"/>
  <c r="I244" i="14"/>
  <c r="I102" i="14"/>
  <c r="I115" i="14"/>
  <c r="I133" i="14"/>
  <c r="I166" i="14"/>
  <c r="I179" i="14"/>
  <c r="I193" i="14"/>
  <c r="I201" i="14"/>
  <c r="I209" i="14"/>
  <c r="I217" i="14"/>
  <c r="I225" i="14"/>
  <c r="I233" i="14"/>
  <c r="I241" i="14"/>
  <c r="I84" i="14"/>
  <c r="I107" i="14"/>
  <c r="I125" i="14"/>
  <c r="I158" i="14"/>
  <c r="I171" i="14"/>
  <c r="I190" i="14"/>
  <c r="I198" i="14"/>
  <c r="I206" i="14"/>
  <c r="I214" i="14"/>
  <c r="I222" i="14"/>
  <c r="I230" i="14"/>
  <c r="I238" i="14"/>
  <c r="I246" i="14"/>
  <c r="I117" i="14"/>
  <c r="I150" i="14"/>
  <c r="I163" i="14"/>
  <c r="I181" i="14"/>
  <c r="I195" i="14"/>
  <c r="I203" i="14"/>
  <c r="I211" i="14"/>
  <c r="I219" i="14"/>
  <c r="I227" i="14"/>
  <c r="I235" i="14"/>
  <c r="I243" i="14"/>
  <c r="I92" i="14"/>
  <c r="I109" i="14"/>
  <c r="I142" i="14"/>
  <c r="I155" i="14"/>
  <c r="I173" i="14"/>
  <c r="I192" i="14"/>
  <c r="I200" i="14"/>
  <c r="I208" i="14"/>
  <c r="I216" i="14"/>
  <c r="I224" i="14"/>
  <c r="I232" i="14"/>
  <c r="I240" i="14"/>
  <c r="I248" i="14"/>
  <c r="I60" i="14"/>
  <c r="I74" i="14"/>
  <c r="I101" i="14"/>
  <c r="I134" i="14"/>
  <c r="I147" i="14"/>
  <c r="I165" i="14"/>
  <c r="I189" i="14"/>
  <c r="I197" i="14"/>
  <c r="I205" i="14"/>
  <c r="I213" i="14"/>
  <c r="I221" i="14"/>
  <c r="I229" i="14"/>
  <c r="I237" i="14"/>
  <c r="I245" i="14"/>
  <c r="I47" i="14"/>
  <c r="I96" i="14"/>
  <c r="I98" i="14"/>
  <c r="I118" i="14"/>
  <c r="I131" i="14"/>
  <c r="I149" i="14"/>
  <c r="I182" i="14"/>
  <c r="I191" i="14"/>
  <c r="I199" i="14"/>
  <c r="I207" i="14"/>
  <c r="I215" i="14"/>
  <c r="I223" i="14"/>
  <c r="I231" i="14"/>
  <c r="I239" i="14"/>
  <c r="I247" i="14"/>
  <c r="I202" i="14"/>
  <c r="I255" i="14"/>
  <c r="I263" i="14"/>
  <c r="I271" i="14"/>
  <c r="I279" i="14"/>
  <c r="I275" i="14"/>
  <c r="I282" i="14"/>
  <c r="I242" i="14"/>
  <c r="I251" i="14"/>
  <c r="I260" i="14"/>
  <c r="I268" i="14"/>
  <c r="I276" i="14"/>
  <c r="I259" i="14"/>
  <c r="I218" i="14"/>
  <c r="I257" i="14"/>
  <c r="I265" i="14"/>
  <c r="I273" i="14"/>
  <c r="I281" i="14"/>
  <c r="I234" i="14"/>
  <c r="I126" i="14"/>
  <c r="I139" i="14"/>
  <c r="I194" i="14"/>
  <c r="I250" i="14"/>
  <c r="I252" i="14"/>
  <c r="I254" i="14"/>
  <c r="I262" i="14"/>
  <c r="I270" i="14"/>
  <c r="I278" i="14"/>
  <c r="I267" i="14"/>
  <c r="I210" i="14"/>
  <c r="I256" i="14"/>
  <c r="I272" i="14"/>
  <c r="I280" i="14"/>
  <c r="I261" i="14"/>
  <c r="I277" i="14"/>
  <c r="I226" i="14"/>
  <c r="I253" i="14"/>
  <c r="I258" i="14"/>
  <c r="I274" i="14"/>
  <c r="I157" i="14"/>
  <c r="I249" i="14"/>
  <c r="I269" i="14"/>
  <c r="I266" i="14"/>
  <c r="P28" i="14"/>
  <c r="P9" i="14"/>
  <c r="P17" i="14"/>
  <c r="P25" i="14"/>
  <c r="P33" i="14"/>
  <c r="P49" i="14"/>
  <c r="P22" i="14"/>
  <c r="P54" i="14"/>
  <c r="P19" i="14"/>
  <c r="P27" i="14"/>
  <c r="P35" i="14"/>
  <c r="P43" i="14"/>
  <c r="P51" i="14"/>
  <c r="P40" i="14"/>
  <c r="P13" i="14"/>
  <c r="P21" i="14"/>
  <c r="P29" i="14"/>
  <c r="P37" i="14"/>
  <c r="P45" i="14"/>
  <c r="P53" i="14"/>
  <c r="P23" i="14"/>
  <c r="P55" i="14"/>
  <c r="P18" i="14"/>
  <c r="P60" i="14"/>
  <c r="P68" i="14"/>
  <c r="P76" i="14"/>
  <c r="P84" i="14"/>
  <c r="P62" i="14"/>
  <c r="P10" i="14"/>
  <c r="P52" i="14"/>
  <c r="P59" i="14"/>
  <c r="P67" i="14"/>
  <c r="P75" i="14"/>
  <c r="P83" i="14"/>
  <c r="P64" i="14"/>
  <c r="P26" i="14"/>
  <c r="P61" i="14"/>
  <c r="P69" i="14"/>
  <c r="P77" i="14"/>
  <c r="P85" i="14"/>
  <c r="P93" i="14"/>
  <c r="P82" i="14"/>
  <c r="P97" i="14"/>
  <c r="P101" i="14"/>
  <c r="P109" i="14"/>
  <c r="P117" i="14"/>
  <c r="P125" i="14"/>
  <c r="P133" i="14"/>
  <c r="P157" i="14"/>
  <c r="P87" i="14"/>
  <c r="P95" i="14"/>
  <c r="P103" i="14"/>
  <c r="P111" i="14"/>
  <c r="P119" i="14"/>
  <c r="P127" i="14"/>
  <c r="P151" i="14"/>
  <c r="P183" i="14"/>
  <c r="P65" i="14"/>
  <c r="P100" i="14"/>
  <c r="P108" i="14"/>
  <c r="P116" i="14"/>
  <c r="P124" i="14"/>
  <c r="P148" i="14"/>
  <c r="P180" i="14"/>
  <c r="P63" i="14"/>
  <c r="P98" i="14"/>
  <c r="P105" i="14"/>
  <c r="P113" i="14"/>
  <c r="P121" i="14"/>
  <c r="P145" i="14"/>
  <c r="P185" i="14"/>
  <c r="P44" i="14"/>
  <c r="P73" i="14"/>
  <c r="P96" i="14"/>
  <c r="P102" i="14"/>
  <c r="P110" i="14"/>
  <c r="P134" i="14"/>
  <c r="P166" i="14"/>
  <c r="P174" i="14"/>
  <c r="P182" i="14"/>
  <c r="P106" i="14"/>
  <c r="P139" i="14"/>
  <c r="P152" i="14"/>
  <c r="P201" i="14"/>
  <c r="P233" i="14"/>
  <c r="P241" i="14"/>
  <c r="P249" i="14"/>
  <c r="P89" i="14"/>
  <c r="P131" i="14"/>
  <c r="P144" i="14"/>
  <c r="P198" i="14"/>
  <c r="P230" i="14"/>
  <c r="P238" i="14"/>
  <c r="P246" i="14"/>
  <c r="P57" i="14"/>
  <c r="P71" i="14"/>
  <c r="P123" i="14"/>
  <c r="P195" i="14"/>
  <c r="P227" i="14"/>
  <c r="P235" i="14"/>
  <c r="P243" i="14"/>
  <c r="P115" i="14"/>
  <c r="P128" i="14"/>
  <c r="P146" i="14"/>
  <c r="P192" i="14"/>
  <c r="P224" i="14"/>
  <c r="P232" i="14"/>
  <c r="P240" i="14"/>
  <c r="P248" i="14"/>
  <c r="P36" i="14"/>
  <c r="P107" i="14"/>
  <c r="P171" i="14"/>
  <c r="P205" i="14"/>
  <c r="P213" i="14"/>
  <c r="P221" i="14"/>
  <c r="P229" i="14"/>
  <c r="P237" i="14"/>
  <c r="P245" i="14"/>
  <c r="P163" i="14"/>
  <c r="P210" i="14"/>
  <c r="P218" i="14"/>
  <c r="P226" i="14"/>
  <c r="P234" i="14"/>
  <c r="P242" i="14"/>
  <c r="P250" i="14"/>
  <c r="P147" i="14"/>
  <c r="P204" i="14"/>
  <c r="P212" i="14"/>
  <c r="P220" i="14"/>
  <c r="P228" i="14"/>
  <c r="P236" i="14"/>
  <c r="P244" i="14"/>
  <c r="P231" i="14"/>
  <c r="P272" i="14"/>
  <c r="P280" i="14"/>
  <c r="P122" i="14"/>
  <c r="P207" i="14"/>
  <c r="P257" i="14"/>
  <c r="P265" i="14"/>
  <c r="P256" i="14"/>
  <c r="P270" i="14"/>
  <c r="P278" i="14"/>
  <c r="P223" i="14"/>
  <c r="P259" i="14"/>
  <c r="P267" i="14"/>
  <c r="P275" i="14"/>
  <c r="P168" i="14"/>
  <c r="P269" i="14"/>
  <c r="P277" i="14"/>
  <c r="P258" i="14"/>
  <c r="P266" i="14"/>
  <c r="P274" i="14"/>
  <c r="P191" i="14"/>
  <c r="P104" i="14"/>
  <c r="P263" i="14"/>
  <c r="P279" i="14"/>
  <c r="O9" i="14"/>
  <c r="O17" i="14"/>
  <c r="O25" i="14"/>
  <c r="O33" i="14"/>
  <c r="O6" i="14"/>
  <c r="O14" i="14"/>
  <c r="O22" i="14"/>
  <c r="O30" i="14"/>
  <c r="O38" i="14"/>
  <c r="O46" i="14"/>
  <c r="O54" i="14"/>
  <c r="O19" i="14"/>
  <c r="O27" i="14"/>
  <c r="O35" i="14"/>
  <c r="O43" i="14"/>
  <c r="O51" i="14"/>
  <c r="O24" i="14"/>
  <c r="O32" i="14"/>
  <c r="O40" i="14"/>
  <c r="O48" i="14"/>
  <c r="O56" i="14"/>
  <c r="O5" i="14"/>
  <c r="O13" i="14"/>
  <c r="O21" i="14"/>
  <c r="O29" i="14"/>
  <c r="O37" i="14"/>
  <c r="O45" i="14"/>
  <c r="O53" i="14"/>
  <c r="O10" i="14"/>
  <c r="O18" i="14"/>
  <c r="O26" i="14"/>
  <c r="O42" i="14"/>
  <c r="O50" i="14"/>
  <c r="O12" i="14"/>
  <c r="O20" i="14"/>
  <c r="O28" i="14"/>
  <c r="O36" i="14"/>
  <c r="O44" i="14"/>
  <c r="O52" i="14"/>
  <c r="O23" i="14"/>
  <c r="O39" i="14"/>
  <c r="O57" i="14"/>
  <c r="O65" i="14"/>
  <c r="O73" i="14"/>
  <c r="O81" i="14"/>
  <c r="O89" i="14"/>
  <c r="O97" i="14"/>
  <c r="O47" i="14"/>
  <c r="O59" i="14"/>
  <c r="O67" i="14"/>
  <c r="O75" i="14"/>
  <c r="O83" i="14"/>
  <c r="O91" i="14"/>
  <c r="O15" i="14"/>
  <c r="O64" i="14"/>
  <c r="O72" i="14"/>
  <c r="O80" i="14"/>
  <c r="O88" i="14"/>
  <c r="O55" i="14"/>
  <c r="O61" i="14"/>
  <c r="O69" i="14"/>
  <c r="O77" i="14"/>
  <c r="O85" i="14"/>
  <c r="O31" i="14"/>
  <c r="O66" i="14"/>
  <c r="O74" i="14"/>
  <c r="O82" i="14"/>
  <c r="O90" i="14"/>
  <c r="O7" i="14"/>
  <c r="O63" i="14"/>
  <c r="O71" i="14"/>
  <c r="O79" i="14"/>
  <c r="O87" i="14"/>
  <c r="O84" i="14"/>
  <c r="O93" i="14"/>
  <c r="O106" i="14"/>
  <c r="O114" i="14"/>
  <c r="O122" i="14"/>
  <c r="O130" i="14"/>
  <c r="O138" i="14"/>
  <c r="O146" i="14"/>
  <c r="O154" i="14"/>
  <c r="O162" i="14"/>
  <c r="O170" i="14"/>
  <c r="O186" i="14"/>
  <c r="O49" i="14"/>
  <c r="O60" i="14"/>
  <c r="O100" i="14"/>
  <c r="O108" i="14"/>
  <c r="O116" i="14"/>
  <c r="O124" i="14"/>
  <c r="O132" i="14"/>
  <c r="O140" i="14"/>
  <c r="O148" i="14"/>
  <c r="O156" i="14"/>
  <c r="O164" i="14"/>
  <c r="O172" i="14"/>
  <c r="O180" i="14"/>
  <c r="O70" i="14"/>
  <c r="O92" i="14"/>
  <c r="O98" i="14"/>
  <c r="O105" i="14"/>
  <c r="O113" i="14"/>
  <c r="O121" i="14"/>
  <c r="O129" i="14"/>
  <c r="O137" i="14"/>
  <c r="O145" i="14"/>
  <c r="O161" i="14"/>
  <c r="O169" i="14"/>
  <c r="O177" i="14"/>
  <c r="O185" i="14"/>
  <c r="O68" i="14"/>
  <c r="O96" i="14"/>
  <c r="O102" i="14"/>
  <c r="O110" i="14"/>
  <c r="O118" i="14"/>
  <c r="O126" i="14"/>
  <c r="O134" i="14"/>
  <c r="O142" i="14"/>
  <c r="O150" i="14"/>
  <c r="O158" i="14"/>
  <c r="O166" i="14"/>
  <c r="O174" i="14"/>
  <c r="O182" i="14"/>
  <c r="O78" i="14"/>
  <c r="O107" i="14"/>
  <c r="O115" i="14"/>
  <c r="O123" i="14"/>
  <c r="O131" i="14"/>
  <c r="O139" i="14"/>
  <c r="O147" i="14"/>
  <c r="O155" i="14"/>
  <c r="O163" i="14"/>
  <c r="O171" i="14"/>
  <c r="O179" i="14"/>
  <c r="O187" i="14"/>
  <c r="O62" i="14"/>
  <c r="O76" i="14"/>
  <c r="O111" i="14"/>
  <c r="O144" i="14"/>
  <c r="O157" i="14"/>
  <c r="O175" i="14"/>
  <c r="O190" i="14"/>
  <c r="O198" i="14"/>
  <c r="O206" i="14"/>
  <c r="O214" i="14"/>
  <c r="O222" i="14"/>
  <c r="O230" i="14"/>
  <c r="O238" i="14"/>
  <c r="O246" i="14"/>
  <c r="O94" i="14"/>
  <c r="O103" i="14"/>
  <c r="O136" i="14"/>
  <c r="O149" i="14"/>
  <c r="O167" i="14"/>
  <c r="O195" i="14"/>
  <c r="O203" i="14"/>
  <c r="O211" i="14"/>
  <c r="O219" i="14"/>
  <c r="O227" i="14"/>
  <c r="O235" i="14"/>
  <c r="O243" i="14"/>
  <c r="O128" i="14"/>
  <c r="O141" i="14"/>
  <c r="O159" i="14"/>
  <c r="O192" i="14"/>
  <c r="O200" i="14"/>
  <c r="O208" i="14"/>
  <c r="O216" i="14"/>
  <c r="O224" i="14"/>
  <c r="O232" i="14"/>
  <c r="O240" i="14"/>
  <c r="O248" i="14"/>
  <c r="O120" i="14"/>
  <c r="O133" i="14"/>
  <c r="O151" i="14"/>
  <c r="O184" i="14"/>
  <c r="O189" i="14"/>
  <c r="O197" i="14"/>
  <c r="O205" i="14"/>
  <c r="O213" i="14"/>
  <c r="O221" i="14"/>
  <c r="O229" i="14"/>
  <c r="O237" i="14"/>
  <c r="O245" i="14"/>
  <c r="O112" i="14"/>
  <c r="O125" i="14"/>
  <c r="O143" i="14"/>
  <c r="O176" i="14"/>
  <c r="O194" i="14"/>
  <c r="O202" i="14"/>
  <c r="O210" i="14"/>
  <c r="O218" i="14"/>
  <c r="O226" i="14"/>
  <c r="O234" i="14"/>
  <c r="O242" i="14"/>
  <c r="O250" i="14"/>
  <c r="O86" i="14"/>
  <c r="O95" i="14"/>
  <c r="O104" i="14"/>
  <c r="O117" i="14"/>
  <c r="O135" i="14"/>
  <c r="O168" i="14"/>
  <c r="O181" i="14"/>
  <c r="O191" i="14"/>
  <c r="O199" i="14"/>
  <c r="O207" i="14"/>
  <c r="O215" i="14"/>
  <c r="O223" i="14"/>
  <c r="O231" i="14"/>
  <c r="O239" i="14"/>
  <c r="O247" i="14"/>
  <c r="O101" i="14"/>
  <c r="O119" i="14"/>
  <c r="O152" i="14"/>
  <c r="O165" i="14"/>
  <c r="O183" i="14"/>
  <c r="O193" i="14"/>
  <c r="O201" i="14"/>
  <c r="O209" i="14"/>
  <c r="O217" i="14"/>
  <c r="O225" i="14"/>
  <c r="O233" i="14"/>
  <c r="O241" i="14"/>
  <c r="O249" i="14"/>
  <c r="O160" i="14"/>
  <c r="O173" i="14"/>
  <c r="O236" i="14"/>
  <c r="O257" i="14"/>
  <c r="O265" i="14"/>
  <c r="O273" i="14"/>
  <c r="O281" i="14"/>
  <c r="O204" i="14"/>
  <c r="O109" i="14"/>
  <c r="O212" i="14"/>
  <c r="O252" i="14"/>
  <c r="O254" i="14"/>
  <c r="O262" i="14"/>
  <c r="O270" i="14"/>
  <c r="O278" i="14"/>
  <c r="O127" i="14"/>
  <c r="O253" i="14"/>
  <c r="O269" i="14"/>
  <c r="O277" i="14"/>
  <c r="O188" i="14"/>
  <c r="O259" i="14"/>
  <c r="O267" i="14"/>
  <c r="O275" i="14"/>
  <c r="O228" i="14"/>
  <c r="O256" i="14"/>
  <c r="O272" i="14"/>
  <c r="O280" i="14"/>
  <c r="O261" i="14"/>
  <c r="O244" i="14"/>
  <c r="O251" i="14"/>
  <c r="O258" i="14"/>
  <c r="O266" i="14"/>
  <c r="O274" i="14"/>
  <c r="O282" i="14"/>
  <c r="O255" i="14"/>
  <c r="O263" i="14"/>
  <c r="O279" i="14"/>
  <c r="O196" i="14"/>
  <c r="O260" i="14"/>
  <c r="O276" i="14"/>
  <c r="O220" i="14"/>
  <c r="O271" i="14"/>
  <c r="O268" i="14"/>
  <c r="M42" i="2"/>
  <c r="M6" i="2"/>
  <c r="M96" i="2"/>
  <c r="M64" i="2"/>
  <c r="M27" i="2"/>
  <c r="M20" i="2"/>
  <c r="M66" i="2"/>
  <c r="M34" i="2"/>
  <c r="M94" i="2"/>
  <c r="M57" i="2"/>
  <c r="M25" i="2"/>
  <c r="M7" i="2"/>
  <c r="M62" i="2"/>
  <c r="P7" i="2"/>
  <c r="P11" i="2"/>
  <c r="P15" i="2"/>
  <c r="P23" i="2"/>
  <c r="P27" i="2"/>
  <c r="P31" i="2"/>
  <c r="P35" i="2"/>
  <c r="P39" i="2"/>
  <c r="P43" i="2"/>
  <c r="P47" i="2"/>
  <c r="P51" i="2"/>
  <c r="P55" i="2"/>
  <c r="P59" i="2"/>
  <c r="P63" i="2"/>
  <c r="P67" i="2"/>
  <c r="P71" i="2"/>
  <c r="P75" i="2"/>
  <c r="P79" i="2"/>
  <c r="P83" i="2"/>
  <c r="P87" i="2"/>
  <c r="P91" i="2"/>
  <c r="P95" i="2"/>
  <c r="P99" i="2"/>
  <c r="P103" i="2"/>
  <c r="P107" i="2"/>
  <c r="P111" i="2"/>
  <c r="P115" i="2"/>
  <c r="P6" i="2"/>
  <c r="P10" i="2"/>
  <c r="P14" i="2"/>
  <c r="P18" i="2"/>
  <c r="P22" i="2"/>
  <c r="P26" i="2"/>
  <c r="P9" i="2"/>
  <c r="P28" i="2"/>
  <c r="P30" i="2"/>
  <c r="P37" i="2"/>
  <c r="P44" i="2"/>
  <c r="P46" i="2"/>
  <c r="P53" i="2"/>
  <c r="P60" i="2"/>
  <c r="P62" i="2"/>
  <c r="P69" i="2"/>
  <c r="P76" i="2"/>
  <c r="P78" i="2"/>
  <c r="P85" i="2"/>
  <c r="P90" i="2"/>
  <c r="P93" i="2"/>
  <c r="P96" i="2"/>
  <c r="P120" i="2"/>
  <c r="P124" i="2"/>
  <c r="P128" i="2"/>
  <c r="P132" i="2"/>
  <c r="P136" i="2"/>
  <c r="P140" i="2"/>
  <c r="P144" i="2"/>
  <c r="P148" i="2"/>
  <c r="P152" i="2"/>
  <c r="P156" i="2"/>
  <c r="P160" i="2"/>
  <c r="P164" i="2"/>
  <c r="P168" i="2"/>
  <c r="P172" i="2"/>
  <c r="P176" i="2"/>
  <c r="P180" i="2"/>
  <c r="P20" i="2"/>
  <c r="P32" i="2"/>
  <c r="P34" i="2"/>
  <c r="P48" i="2"/>
  <c r="P50" i="2"/>
  <c r="P57" i="2"/>
  <c r="P64" i="2"/>
  <c r="P66" i="2"/>
  <c r="P73" i="2"/>
  <c r="P80" i="2"/>
  <c r="P82" i="2"/>
  <c r="P98" i="2"/>
  <c r="P101" i="2"/>
  <c r="P104" i="2"/>
  <c r="P119" i="2"/>
  <c r="P123" i="2"/>
  <c r="P127" i="2"/>
  <c r="P131" i="2"/>
  <c r="P135" i="2"/>
  <c r="P139" i="2"/>
  <c r="P143" i="2"/>
  <c r="P5" i="2"/>
  <c r="P146" i="2"/>
  <c r="P149" i="2"/>
  <c r="P12" i="2"/>
  <c r="P33" i="2"/>
  <c r="P40" i="2"/>
  <c r="P45" i="2"/>
  <c r="P52" i="2"/>
  <c r="P92" i="2"/>
  <c r="P94" i="2"/>
  <c r="P100" i="2"/>
  <c r="P102" i="2"/>
  <c r="P108" i="2"/>
  <c r="P151" i="2"/>
  <c r="P154" i="2"/>
  <c r="P157" i="2"/>
  <c r="P29" i="2"/>
  <c r="P36" i="2"/>
  <c r="P74" i="2"/>
  <c r="P81" i="2"/>
  <c r="P86" i="2"/>
  <c r="P88" i="2"/>
  <c r="P122" i="2"/>
  <c r="P129" i="2"/>
  <c r="P138" i="2"/>
  <c r="P145" i="2"/>
  <c r="P17" i="2"/>
  <c r="P24" i="2"/>
  <c r="P58" i="2"/>
  <c r="P65" i="2"/>
  <c r="P70" i="2"/>
  <c r="P72" i="2"/>
  <c r="P77" i="2"/>
  <c r="P84" i="2"/>
  <c r="P109" i="2"/>
  <c r="P113" i="2"/>
  <c r="P117" i="2"/>
  <c r="P126" i="2"/>
  <c r="P133" i="2"/>
  <c r="P142" i="2"/>
  <c r="P147" i="2"/>
  <c r="P150" i="2"/>
  <c r="P179" i="2"/>
  <c r="P56" i="2"/>
  <c r="P130" i="2"/>
  <c r="P137" i="2"/>
  <c r="P162" i="2"/>
  <c r="P166" i="2"/>
  <c r="P183" i="2"/>
  <c r="P187" i="2"/>
  <c r="P191" i="2"/>
  <c r="P199" i="2"/>
  <c r="P203" i="2"/>
  <c r="P207" i="2"/>
  <c r="P211" i="2"/>
  <c r="P215" i="2"/>
  <c r="P219" i="2"/>
  <c r="P223" i="2"/>
  <c r="P227" i="2"/>
  <c r="P231" i="2"/>
  <c r="P235" i="2"/>
  <c r="P25" i="2"/>
  <c r="P182" i="2"/>
  <c r="P186" i="2"/>
  <c r="P190" i="2"/>
  <c r="P194" i="2"/>
  <c r="P198" i="2"/>
  <c r="P202" i="2"/>
  <c r="P206" i="2"/>
  <c r="P210" i="2"/>
  <c r="P214" i="2"/>
  <c r="P218" i="2"/>
  <c r="P222" i="2"/>
  <c r="P226" i="2"/>
  <c r="P230" i="2"/>
  <c r="P234" i="2"/>
  <c r="P238" i="2"/>
  <c r="P89" i="2"/>
  <c r="P105" i="2"/>
  <c r="P167" i="2"/>
  <c r="P171" i="2"/>
  <c r="P173" i="2"/>
  <c r="P175" i="2"/>
  <c r="P177" i="2"/>
  <c r="P21" i="2"/>
  <c r="P54" i="2"/>
  <c r="P106" i="2"/>
  <c r="P110" i="2"/>
  <c r="P114" i="2"/>
  <c r="P118" i="2"/>
  <c r="P125" i="2"/>
  <c r="P181" i="2"/>
  <c r="P112" i="2"/>
  <c r="P134" i="2"/>
  <c r="P141" i="2"/>
  <c r="P245" i="2"/>
  <c r="P249" i="2"/>
  <c r="P253" i="2"/>
  <c r="P257" i="2"/>
  <c r="P261" i="2"/>
  <c r="P265" i="2"/>
  <c r="P269" i="2"/>
  <c r="P273" i="2"/>
  <c r="P277" i="2"/>
  <c r="P281" i="2"/>
  <c r="P49" i="2"/>
  <c r="P121" i="2"/>
  <c r="P155" i="2"/>
  <c r="P161" i="2"/>
  <c r="P165" i="2"/>
  <c r="P169" i="2"/>
  <c r="P189" i="2"/>
  <c r="P197" i="2"/>
  <c r="P205" i="2"/>
  <c r="P213" i="2"/>
  <c r="P221" i="2"/>
  <c r="P229" i="2"/>
  <c r="P237" i="2"/>
  <c r="P239" i="2"/>
  <c r="P241" i="2"/>
  <c r="P184" i="2"/>
  <c r="P192" i="2"/>
  <c r="P200" i="2"/>
  <c r="P208" i="2"/>
  <c r="P216" i="2"/>
  <c r="P224" i="2"/>
  <c r="P232" i="2"/>
  <c r="P244" i="2"/>
  <c r="P248" i="2"/>
  <c r="P252" i="2"/>
  <c r="P256" i="2"/>
  <c r="P260" i="2"/>
  <c r="P264" i="2"/>
  <c r="P268" i="2"/>
  <c r="P272" i="2"/>
  <c r="P276" i="2"/>
  <c r="P280" i="2"/>
  <c r="P243" i="2"/>
  <c r="P255" i="2"/>
  <c r="P259" i="2"/>
  <c r="P271" i="2"/>
  <c r="P279" i="2"/>
  <c r="P68" i="2"/>
  <c r="P170" i="2"/>
  <c r="P174" i="2"/>
  <c r="P4" i="2"/>
  <c r="P116" i="2"/>
  <c r="P240" i="2"/>
  <c r="P247" i="2"/>
  <c r="P251" i="2"/>
  <c r="P263" i="2"/>
  <c r="P267" i="2"/>
  <c r="P275" i="2"/>
  <c r="P42" i="2"/>
  <c r="P158" i="2"/>
  <c r="P163" i="2"/>
  <c r="P185" i="2"/>
  <c r="P193" i="2"/>
  <c r="P201" i="2"/>
  <c r="P209" i="2"/>
  <c r="P217" i="2"/>
  <c r="P225" i="2"/>
  <c r="P233" i="2"/>
  <c r="P61" i="2"/>
  <c r="P159" i="2"/>
  <c r="P188" i="2"/>
  <c r="P196" i="2"/>
  <c r="P204" i="2"/>
  <c r="P212" i="2"/>
  <c r="P220" i="2"/>
  <c r="P228" i="2"/>
  <c r="P236" i="2"/>
  <c r="P242" i="2"/>
  <c r="P246" i="2"/>
  <c r="P250" i="2"/>
  <c r="P254" i="2"/>
  <c r="P258" i="2"/>
  <c r="P262" i="2"/>
  <c r="P282" i="2"/>
  <c r="P278" i="2"/>
  <c r="P266" i="2"/>
  <c r="P274" i="2"/>
  <c r="P270" i="2"/>
  <c r="N6" i="2"/>
  <c r="N10" i="2"/>
  <c r="N14" i="2"/>
  <c r="N18" i="2"/>
  <c r="N22" i="2"/>
  <c r="N26" i="2"/>
  <c r="N30" i="2"/>
  <c r="N34" i="2"/>
  <c r="N42" i="2"/>
  <c r="N46" i="2"/>
  <c r="N50" i="2"/>
  <c r="N54" i="2"/>
  <c r="N58" i="2"/>
  <c r="N62" i="2"/>
  <c r="N66" i="2"/>
  <c r="N70" i="2"/>
  <c r="N74" i="2"/>
  <c r="N78" i="2"/>
  <c r="N82" i="2"/>
  <c r="N86" i="2"/>
  <c r="N90" i="2"/>
  <c r="N94" i="2"/>
  <c r="N98" i="2"/>
  <c r="N102" i="2"/>
  <c r="N106" i="2"/>
  <c r="N110" i="2"/>
  <c r="N114" i="2"/>
  <c r="N5" i="2"/>
  <c r="N9" i="2"/>
  <c r="N17" i="2"/>
  <c r="N21" i="2"/>
  <c r="N25" i="2"/>
  <c r="N11" i="2"/>
  <c r="N24" i="2"/>
  <c r="N7" i="2"/>
  <c r="N20" i="2"/>
  <c r="N32" i="2"/>
  <c r="N39" i="2"/>
  <c r="N48" i="2"/>
  <c r="N55" i="2"/>
  <c r="N57" i="2"/>
  <c r="N64" i="2"/>
  <c r="N71" i="2"/>
  <c r="N73" i="2"/>
  <c r="N80" i="2"/>
  <c r="N87" i="2"/>
  <c r="N101" i="2"/>
  <c r="N104" i="2"/>
  <c r="N107" i="2"/>
  <c r="N119" i="2"/>
  <c r="N123" i="2"/>
  <c r="N127" i="2"/>
  <c r="N131" i="2"/>
  <c r="N135" i="2"/>
  <c r="N139" i="2"/>
  <c r="N143" i="2"/>
  <c r="N147" i="2"/>
  <c r="N151" i="2"/>
  <c r="N155" i="2"/>
  <c r="N159" i="2"/>
  <c r="N163" i="2"/>
  <c r="N167" i="2"/>
  <c r="N171" i="2"/>
  <c r="N175" i="2"/>
  <c r="N179" i="2"/>
  <c r="N12" i="2"/>
  <c r="N29" i="2"/>
  <c r="N36" i="2"/>
  <c r="N43" i="2"/>
  <c r="N45" i="2"/>
  <c r="N52" i="2"/>
  <c r="N59" i="2"/>
  <c r="N61" i="2"/>
  <c r="N68" i="2"/>
  <c r="N75" i="2"/>
  <c r="N77" i="2"/>
  <c r="N84" i="2"/>
  <c r="N109" i="2"/>
  <c r="N112" i="2"/>
  <c r="N115" i="2"/>
  <c r="N118" i="2"/>
  <c r="N122" i="2"/>
  <c r="N126" i="2"/>
  <c r="N130" i="2"/>
  <c r="N134" i="2"/>
  <c r="N138" i="2"/>
  <c r="N142" i="2"/>
  <c r="N15" i="2"/>
  <c r="N100" i="2"/>
  <c r="N108" i="2"/>
  <c r="N116" i="2"/>
  <c r="N154" i="2"/>
  <c r="N157" i="2"/>
  <c r="N160" i="2"/>
  <c r="N31" i="2"/>
  <c r="N69" i="2"/>
  <c r="N76" i="2"/>
  <c r="N81" i="2"/>
  <c r="N83" i="2"/>
  <c r="N23" i="2"/>
  <c r="N162" i="2"/>
  <c r="N165" i="2"/>
  <c r="N168" i="2"/>
  <c r="N53" i="2"/>
  <c r="N60" i="2"/>
  <c r="N65" i="2"/>
  <c r="N67" i="2"/>
  <c r="N72" i="2"/>
  <c r="N79" i="2"/>
  <c r="N117" i="2"/>
  <c r="N124" i="2"/>
  <c r="N133" i="2"/>
  <c r="N140" i="2"/>
  <c r="N150" i="2"/>
  <c r="N156" i="2"/>
  <c r="N37" i="2"/>
  <c r="N44" i="2"/>
  <c r="N49" i="2"/>
  <c r="N51" i="2"/>
  <c r="N56" i="2"/>
  <c r="N63" i="2"/>
  <c r="N89" i="2"/>
  <c r="N91" i="2"/>
  <c r="N93" i="2"/>
  <c r="N95" i="2"/>
  <c r="N99" i="2"/>
  <c r="N121" i="2"/>
  <c r="N128" i="2"/>
  <c r="N137" i="2"/>
  <c r="N144" i="2"/>
  <c r="N158" i="2"/>
  <c r="N161" i="2"/>
  <c r="N164" i="2"/>
  <c r="N141" i="2"/>
  <c r="N182" i="2"/>
  <c r="N186" i="2"/>
  <c r="N190" i="2"/>
  <c r="N194" i="2"/>
  <c r="N198" i="2"/>
  <c r="N202" i="2"/>
  <c r="N206" i="2"/>
  <c r="N210" i="2"/>
  <c r="N214" i="2"/>
  <c r="N218" i="2"/>
  <c r="N222" i="2"/>
  <c r="N226" i="2"/>
  <c r="N230" i="2"/>
  <c r="N234" i="2"/>
  <c r="N27" i="2"/>
  <c r="N33" i="2"/>
  <c r="N105" i="2"/>
  <c r="N113" i="2"/>
  <c r="N169" i="2"/>
  <c r="N173" i="2"/>
  <c r="N177" i="2"/>
  <c r="N185" i="2"/>
  <c r="N189" i="2"/>
  <c r="N193" i="2"/>
  <c r="N197" i="2"/>
  <c r="N201" i="2"/>
  <c r="N205" i="2"/>
  <c r="N209" i="2"/>
  <c r="N213" i="2"/>
  <c r="N217" i="2"/>
  <c r="N221" i="2"/>
  <c r="N225" i="2"/>
  <c r="N229" i="2"/>
  <c r="N233" i="2"/>
  <c r="N237" i="2"/>
  <c r="N241" i="2"/>
  <c r="N40" i="2"/>
  <c r="N146" i="2"/>
  <c r="N149" i="2"/>
  <c r="N152" i="2"/>
  <c r="N181" i="2"/>
  <c r="N35" i="2"/>
  <c r="N129" i="2"/>
  <c r="N136" i="2"/>
  <c r="N88" i="2"/>
  <c r="N96" i="2"/>
  <c r="N120" i="2"/>
  <c r="N148" i="2"/>
  <c r="N244" i="2"/>
  <c r="N248" i="2"/>
  <c r="N252" i="2"/>
  <c r="N256" i="2"/>
  <c r="N260" i="2"/>
  <c r="N264" i="2"/>
  <c r="N268" i="2"/>
  <c r="N272" i="2"/>
  <c r="N276" i="2"/>
  <c r="N280" i="2"/>
  <c r="N184" i="2"/>
  <c r="N192" i="2"/>
  <c r="N200" i="2"/>
  <c r="N208" i="2"/>
  <c r="N216" i="2"/>
  <c r="N224" i="2"/>
  <c r="N232" i="2"/>
  <c r="N4" i="2"/>
  <c r="N166" i="2"/>
  <c r="N170" i="2"/>
  <c r="N174" i="2"/>
  <c r="N187" i="2"/>
  <c r="N203" i="2"/>
  <c r="N211" i="2"/>
  <c r="N219" i="2"/>
  <c r="N227" i="2"/>
  <c r="N235" i="2"/>
  <c r="N243" i="2"/>
  <c r="N247" i="2"/>
  <c r="N251" i="2"/>
  <c r="N255" i="2"/>
  <c r="N259" i="2"/>
  <c r="N263" i="2"/>
  <c r="N267" i="2"/>
  <c r="N271" i="2"/>
  <c r="N275" i="2"/>
  <c r="N279" i="2"/>
  <c r="N92" i="2"/>
  <c r="N238" i="2"/>
  <c r="N246" i="2"/>
  <c r="N262" i="2"/>
  <c r="N282" i="2"/>
  <c r="N240" i="2"/>
  <c r="N145" i="2"/>
  <c r="N242" i="2"/>
  <c r="N250" i="2"/>
  <c r="N254" i="2"/>
  <c r="N258" i="2"/>
  <c r="N266" i="2"/>
  <c r="N270" i="2"/>
  <c r="N278" i="2"/>
  <c r="N85" i="2"/>
  <c r="N125" i="2"/>
  <c r="N132" i="2"/>
  <c r="N188" i="2"/>
  <c r="N196" i="2"/>
  <c r="N204" i="2"/>
  <c r="N212" i="2"/>
  <c r="N220" i="2"/>
  <c r="N228" i="2"/>
  <c r="N236" i="2"/>
  <c r="N28" i="2"/>
  <c r="N103" i="2"/>
  <c r="N111" i="2"/>
  <c r="N172" i="2"/>
  <c r="N176" i="2"/>
  <c r="N180" i="2"/>
  <c r="N183" i="2"/>
  <c r="N191" i="2"/>
  <c r="N199" i="2"/>
  <c r="N207" i="2"/>
  <c r="N215" i="2"/>
  <c r="N223" i="2"/>
  <c r="N231" i="2"/>
  <c r="N245" i="2"/>
  <c r="N249" i="2"/>
  <c r="N253" i="2"/>
  <c r="N257" i="2"/>
  <c r="N261" i="2"/>
  <c r="N265" i="2"/>
  <c r="N273" i="2"/>
  <c r="N281" i="2"/>
  <c r="N47" i="2"/>
  <c r="N239" i="2"/>
  <c r="N269" i="2"/>
  <c r="N274" i="2"/>
  <c r="N277" i="2"/>
  <c r="L5" i="2"/>
  <c r="L9" i="2"/>
  <c r="L17" i="2"/>
  <c r="L21" i="2"/>
  <c r="L25" i="2"/>
  <c r="L29" i="2"/>
  <c r="L33" i="2"/>
  <c r="L37" i="2"/>
  <c r="L45" i="2"/>
  <c r="L49" i="2"/>
  <c r="L53" i="2"/>
  <c r="L57" i="2"/>
  <c r="L61" i="2"/>
  <c r="L65" i="2"/>
  <c r="L69" i="2"/>
  <c r="L73" i="2"/>
  <c r="L77" i="2"/>
  <c r="L81" i="2"/>
  <c r="L85" i="2"/>
  <c r="L89" i="2"/>
  <c r="L93" i="2"/>
  <c r="L101" i="2"/>
  <c r="L105" i="2"/>
  <c r="L109" i="2"/>
  <c r="L113" i="2"/>
  <c r="L117" i="2"/>
  <c r="L12" i="2"/>
  <c r="L20" i="2"/>
  <c r="L24" i="2"/>
  <c r="L28" i="2"/>
  <c r="L22" i="2"/>
  <c r="L18" i="2"/>
  <c r="L34" i="2"/>
  <c r="L36" i="2"/>
  <c r="L43" i="2"/>
  <c r="L50" i="2"/>
  <c r="L52" i="2"/>
  <c r="L59" i="2"/>
  <c r="L66" i="2"/>
  <c r="L68" i="2"/>
  <c r="L75" i="2"/>
  <c r="L82" i="2"/>
  <c r="L84" i="2"/>
  <c r="L112" i="2"/>
  <c r="L115" i="2"/>
  <c r="L118" i="2"/>
  <c r="L122" i="2"/>
  <c r="L126" i="2"/>
  <c r="L130" i="2"/>
  <c r="L134" i="2"/>
  <c r="L138" i="2"/>
  <c r="L142" i="2"/>
  <c r="L146" i="2"/>
  <c r="L150" i="2"/>
  <c r="L154" i="2"/>
  <c r="L158" i="2"/>
  <c r="L162" i="2"/>
  <c r="L166" i="2"/>
  <c r="L170" i="2"/>
  <c r="L174" i="2"/>
  <c r="L182" i="2"/>
  <c r="L10" i="2"/>
  <c r="L23" i="2"/>
  <c r="L31" i="2"/>
  <c r="L40" i="2"/>
  <c r="L47" i="2"/>
  <c r="L54" i="2"/>
  <c r="L56" i="2"/>
  <c r="L63" i="2"/>
  <c r="L70" i="2"/>
  <c r="L72" i="2"/>
  <c r="L79" i="2"/>
  <c r="L86" i="2"/>
  <c r="L88" i="2"/>
  <c r="L91" i="2"/>
  <c r="L94" i="2"/>
  <c r="L121" i="2"/>
  <c r="L125" i="2"/>
  <c r="L129" i="2"/>
  <c r="L133" i="2"/>
  <c r="L137" i="2"/>
  <c r="L141" i="2"/>
  <c r="L145" i="2"/>
  <c r="L90" i="2"/>
  <c r="L92" i="2"/>
  <c r="L98" i="2"/>
  <c r="L6" i="2"/>
  <c r="L26" i="2"/>
  <c r="L48" i="2"/>
  <c r="L55" i="2"/>
  <c r="L60" i="2"/>
  <c r="L62" i="2"/>
  <c r="L67" i="2"/>
  <c r="L74" i="2"/>
  <c r="L111" i="2"/>
  <c r="L147" i="2"/>
  <c r="L173" i="2"/>
  <c r="L176" i="2"/>
  <c r="L179" i="2"/>
  <c r="L27" i="2"/>
  <c r="L32" i="2"/>
  <c r="L39" i="2"/>
  <c r="L44" i="2"/>
  <c r="L46" i="2"/>
  <c r="L51" i="2"/>
  <c r="L58" i="2"/>
  <c r="L99" i="2"/>
  <c r="L103" i="2"/>
  <c r="L107" i="2"/>
  <c r="L119" i="2"/>
  <c r="L128" i="2"/>
  <c r="L135" i="2"/>
  <c r="L144" i="2"/>
  <c r="L161" i="2"/>
  <c r="L11" i="2"/>
  <c r="L30" i="2"/>
  <c r="L35" i="2"/>
  <c r="L42" i="2"/>
  <c r="L80" i="2"/>
  <c r="L87" i="2"/>
  <c r="L123" i="2"/>
  <c r="L132" i="2"/>
  <c r="L139" i="2"/>
  <c r="L169" i="2"/>
  <c r="L172" i="2"/>
  <c r="L175" i="2"/>
  <c r="L7" i="2"/>
  <c r="L76" i="2"/>
  <c r="L96" i="2"/>
  <c r="L100" i="2"/>
  <c r="L104" i="2"/>
  <c r="L120" i="2"/>
  <c r="L127" i="2"/>
  <c r="L148" i="2"/>
  <c r="L151" i="2"/>
  <c r="L177" i="2"/>
  <c r="L185" i="2"/>
  <c r="L189" i="2"/>
  <c r="L193" i="2"/>
  <c r="L197" i="2"/>
  <c r="L201" i="2"/>
  <c r="L205" i="2"/>
  <c r="L209" i="2"/>
  <c r="L213" i="2"/>
  <c r="L217" i="2"/>
  <c r="L221" i="2"/>
  <c r="L225" i="2"/>
  <c r="L229" i="2"/>
  <c r="L233" i="2"/>
  <c r="L237" i="2"/>
  <c r="L71" i="2"/>
  <c r="L149" i="2"/>
  <c r="L152" i="2"/>
  <c r="L155" i="2"/>
  <c r="L184" i="2"/>
  <c r="L188" i="2"/>
  <c r="L192" i="2"/>
  <c r="L196" i="2"/>
  <c r="L200" i="2"/>
  <c r="L204" i="2"/>
  <c r="L208" i="2"/>
  <c r="L212" i="2"/>
  <c r="L216" i="2"/>
  <c r="L220" i="2"/>
  <c r="L224" i="2"/>
  <c r="L228" i="2"/>
  <c r="L232" i="2"/>
  <c r="L236" i="2"/>
  <c r="L240" i="2"/>
  <c r="L78" i="2"/>
  <c r="L114" i="2"/>
  <c r="L140" i="2"/>
  <c r="L156" i="2"/>
  <c r="L159" i="2"/>
  <c r="L164" i="2"/>
  <c r="L168" i="2"/>
  <c r="L64" i="2"/>
  <c r="L165" i="2"/>
  <c r="L181" i="2"/>
  <c r="L243" i="2"/>
  <c r="L247" i="2"/>
  <c r="L251" i="2"/>
  <c r="L255" i="2"/>
  <c r="L259" i="2"/>
  <c r="L263" i="2"/>
  <c r="L267" i="2"/>
  <c r="L271" i="2"/>
  <c r="L275" i="2"/>
  <c r="L279" i="2"/>
  <c r="L14" i="2"/>
  <c r="L106" i="2"/>
  <c r="L136" i="2"/>
  <c r="L143" i="2"/>
  <c r="L187" i="2"/>
  <c r="L203" i="2"/>
  <c r="L211" i="2"/>
  <c r="L219" i="2"/>
  <c r="L227" i="2"/>
  <c r="L235" i="2"/>
  <c r="L15" i="2"/>
  <c r="L190" i="2"/>
  <c r="L198" i="2"/>
  <c r="L206" i="2"/>
  <c r="L214" i="2"/>
  <c r="L222" i="2"/>
  <c r="L230" i="2"/>
  <c r="L238" i="2"/>
  <c r="L242" i="2"/>
  <c r="L246" i="2"/>
  <c r="L250" i="2"/>
  <c r="L254" i="2"/>
  <c r="L258" i="2"/>
  <c r="L262" i="2"/>
  <c r="L266" i="2"/>
  <c r="L270" i="2"/>
  <c r="L274" i="2"/>
  <c r="L278" i="2"/>
  <c r="L282" i="2"/>
  <c r="L124" i="2"/>
  <c r="L163" i="2"/>
  <c r="L249" i="2"/>
  <c r="L253" i="2"/>
  <c r="L257" i="2"/>
  <c r="L265" i="2"/>
  <c r="L269" i="2"/>
  <c r="L277" i="2"/>
  <c r="L108" i="2"/>
  <c r="L116" i="2"/>
  <c r="L157" i="2"/>
  <c r="L83" i="2"/>
  <c r="L131" i="2"/>
  <c r="L171" i="2"/>
  <c r="L245" i="2"/>
  <c r="L261" i="2"/>
  <c r="L273" i="2"/>
  <c r="L281" i="2"/>
  <c r="L102" i="2"/>
  <c r="L110" i="2"/>
  <c r="L180" i="2"/>
  <c r="L183" i="2"/>
  <c r="L191" i="2"/>
  <c r="L199" i="2"/>
  <c r="L207" i="2"/>
  <c r="L215" i="2"/>
  <c r="L223" i="2"/>
  <c r="L231" i="2"/>
  <c r="L95" i="2"/>
  <c r="L186" i="2"/>
  <c r="L194" i="2"/>
  <c r="L202" i="2"/>
  <c r="L210" i="2"/>
  <c r="L218" i="2"/>
  <c r="L226" i="2"/>
  <c r="L234" i="2"/>
  <c r="L239" i="2"/>
  <c r="L241" i="2"/>
  <c r="L244" i="2"/>
  <c r="L248" i="2"/>
  <c r="L252" i="2"/>
  <c r="L256" i="2"/>
  <c r="L260" i="2"/>
  <c r="L264" i="2"/>
  <c r="L167" i="2"/>
  <c r="L268" i="2"/>
  <c r="L4" i="2"/>
  <c r="L160" i="2"/>
  <c r="L272" i="2"/>
  <c r="L280" i="2"/>
  <c r="L276" i="2"/>
  <c r="R7" i="10"/>
  <c r="R15" i="10"/>
  <c r="R23" i="10"/>
  <c r="R31" i="10"/>
  <c r="R39" i="10"/>
  <c r="R47" i="10"/>
  <c r="R55" i="10"/>
  <c r="R63" i="10"/>
  <c r="R71" i="10"/>
  <c r="R79" i="10"/>
  <c r="R87" i="10"/>
  <c r="R95" i="10"/>
  <c r="R103" i="10"/>
  <c r="R111" i="10"/>
  <c r="R119" i="10"/>
  <c r="R127" i="10"/>
  <c r="R135" i="10"/>
  <c r="R143" i="10"/>
  <c r="R151" i="10"/>
  <c r="R159" i="10"/>
  <c r="R167" i="10"/>
  <c r="R175" i="10"/>
  <c r="R183" i="10"/>
  <c r="R191" i="10"/>
  <c r="R199" i="10"/>
  <c r="R207" i="10"/>
  <c r="R215" i="10"/>
  <c r="R223" i="10"/>
  <c r="R231" i="10"/>
  <c r="R239" i="10"/>
  <c r="R247" i="10"/>
  <c r="R256" i="10"/>
  <c r="R264" i="10"/>
  <c r="R272" i="10"/>
  <c r="R280" i="10"/>
  <c r="R8" i="10"/>
  <c r="R16" i="10"/>
  <c r="R32" i="10"/>
  <c r="R40" i="10"/>
  <c r="R48" i="10"/>
  <c r="R56" i="10"/>
  <c r="R64" i="10"/>
  <c r="R72" i="10"/>
  <c r="R80" i="10"/>
  <c r="R88" i="10"/>
  <c r="R96" i="10"/>
  <c r="R104" i="10"/>
  <c r="R112" i="10"/>
  <c r="R120" i="10"/>
  <c r="R128" i="10"/>
  <c r="R136" i="10"/>
  <c r="R144" i="10"/>
  <c r="R152" i="10"/>
  <c r="R160" i="10"/>
  <c r="R168" i="10"/>
  <c r="R176" i="10"/>
  <c r="R184" i="10"/>
  <c r="R192" i="10"/>
  <c r="R200" i="10"/>
  <c r="R208" i="10"/>
  <c r="R216" i="10"/>
  <c r="R224" i="10"/>
  <c r="R232" i="10"/>
  <c r="R240" i="10"/>
  <c r="R248" i="10"/>
  <c r="R257" i="10"/>
  <c r="R265" i="10"/>
  <c r="R273" i="10"/>
  <c r="R281" i="10"/>
  <c r="R9" i="10"/>
  <c r="R17" i="10"/>
  <c r="R25" i="10"/>
  <c r="R33" i="10"/>
  <c r="R41" i="10"/>
  <c r="R49" i="10"/>
  <c r="R57" i="10"/>
  <c r="R65" i="10"/>
  <c r="R73" i="10"/>
  <c r="R81" i="10"/>
  <c r="R89" i="10"/>
  <c r="R97" i="10"/>
  <c r="R105" i="10"/>
  <c r="R113" i="10"/>
  <c r="R121" i="10"/>
  <c r="R129" i="10"/>
  <c r="R137" i="10"/>
  <c r="R145" i="10"/>
  <c r="R153" i="10"/>
  <c r="R161" i="10"/>
  <c r="R169" i="10"/>
  <c r="R177" i="10"/>
  <c r="R185" i="10"/>
  <c r="R193" i="10"/>
  <c r="R201" i="10"/>
  <c r="R209" i="10"/>
  <c r="R217" i="10"/>
  <c r="R225" i="10"/>
  <c r="R233" i="10"/>
  <c r="R241" i="10"/>
  <c r="R250" i="10"/>
  <c r="R258" i="10"/>
  <c r="R266" i="10"/>
  <c r="R274" i="10"/>
  <c r="R282" i="10"/>
  <c r="R10" i="10"/>
  <c r="R18" i="10"/>
  <c r="R26" i="10"/>
  <c r="R34" i="10"/>
  <c r="R42" i="10"/>
  <c r="R50" i="10"/>
  <c r="R58" i="10"/>
  <c r="R66" i="10"/>
  <c r="R74" i="10"/>
  <c r="R82" i="10"/>
  <c r="R90" i="10"/>
  <c r="R98" i="10"/>
  <c r="R106" i="10"/>
  <c r="R114" i="10"/>
  <c r="R122" i="10"/>
  <c r="R130" i="10"/>
  <c r="R138" i="10"/>
  <c r="R146" i="10"/>
  <c r="R154" i="10"/>
  <c r="R162" i="10"/>
  <c r="R170" i="10"/>
  <c r="R178" i="10"/>
  <c r="R186" i="10"/>
  <c r="R194" i="10"/>
  <c r="R202" i="10"/>
  <c r="R210" i="10"/>
  <c r="R218" i="10"/>
  <c r="R226" i="10"/>
  <c r="R234" i="10"/>
  <c r="R242" i="10"/>
  <c r="R251" i="10"/>
  <c r="R259" i="10"/>
  <c r="R267" i="10"/>
  <c r="R275" i="10"/>
  <c r="R283" i="10"/>
  <c r="R11" i="10"/>
  <c r="R19" i="10"/>
  <c r="R27" i="10"/>
  <c r="R35" i="10"/>
  <c r="R43" i="10"/>
  <c r="R51" i="10"/>
  <c r="R59" i="10"/>
  <c r="R67" i="10"/>
  <c r="R75" i="10"/>
  <c r="R83" i="10"/>
  <c r="R91" i="10"/>
  <c r="R99" i="10"/>
  <c r="R107" i="10"/>
  <c r="R115" i="10"/>
  <c r="R123" i="10"/>
  <c r="R131" i="10"/>
  <c r="R139" i="10"/>
  <c r="R147" i="10"/>
  <c r="R155" i="10"/>
  <c r="R163" i="10"/>
  <c r="R171" i="10"/>
  <c r="R179" i="10"/>
  <c r="R187" i="10"/>
  <c r="R195" i="10"/>
  <c r="R203" i="10"/>
  <c r="R211" i="10"/>
  <c r="R219" i="10"/>
  <c r="R227" i="10"/>
  <c r="R235" i="10"/>
  <c r="R243" i="10"/>
  <c r="R252" i="10"/>
  <c r="R260" i="10"/>
  <c r="R268" i="10"/>
  <c r="R276" i="10"/>
  <c r="R4" i="10"/>
  <c r="R12" i="10"/>
  <c r="R20" i="10"/>
  <c r="R28" i="10"/>
  <c r="R36" i="10"/>
  <c r="R44" i="10"/>
  <c r="R52" i="10"/>
  <c r="R60" i="10"/>
  <c r="R68" i="10"/>
  <c r="R76" i="10"/>
  <c r="R84" i="10"/>
  <c r="R92" i="10"/>
  <c r="R100" i="10"/>
  <c r="R108" i="10"/>
  <c r="R116" i="10"/>
  <c r="R124" i="10"/>
  <c r="R132" i="10"/>
  <c r="R140" i="10"/>
  <c r="R148" i="10"/>
  <c r="R156" i="10"/>
  <c r="R164" i="10"/>
  <c r="R172" i="10"/>
  <c r="R180" i="10"/>
  <c r="R188" i="10"/>
  <c r="R196" i="10"/>
  <c r="R204" i="10"/>
  <c r="R212" i="10"/>
  <c r="R220" i="10"/>
  <c r="R228" i="10"/>
  <c r="R236" i="10"/>
  <c r="R244" i="10"/>
  <c r="R253" i="10"/>
  <c r="R261" i="10"/>
  <c r="R269" i="10"/>
  <c r="R277" i="10"/>
  <c r="R5" i="10"/>
  <c r="R13" i="10"/>
  <c r="R21" i="10"/>
  <c r="R29" i="10"/>
  <c r="R37" i="10"/>
  <c r="R45" i="10"/>
  <c r="R53" i="10"/>
  <c r="R61" i="10"/>
  <c r="R69" i="10"/>
  <c r="R77" i="10"/>
  <c r="R85" i="10"/>
  <c r="R93" i="10"/>
  <c r="R101" i="10"/>
  <c r="R109" i="10"/>
  <c r="R117" i="10"/>
  <c r="R125" i="10"/>
  <c r="R133" i="10"/>
  <c r="R141" i="10"/>
  <c r="R149" i="10"/>
  <c r="R157" i="10"/>
  <c r="R165" i="10"/>
  <c r="R173" i="10"/>
  <c r="R181" i="10"/>
  <c r="R189" i="10"/>
  <c r="R197" i="10"/>
  <c r="R205" i="10"/>
  <c r="R213" i="10"/>
  <c r="R221" i="10"/>
  <c r="R229" i="10"/>
  <c r="R237" i="10"/>
  <c r="R245" i="10"/>
  <c r="R254" i="10"/>
  <c r="R262" i="10"/>
  <c r="R270" i="10"/>
  <c r="R278" i="10"/>
  <c r="R6" i="10"/>
  <c r="R14" i="10"/>
  <c r="R22" i="10"/>
  <c r="R30" i="10"/>
  <c r="R38" i="10"/>
  <c r="R46" i="10"/>
  <c r="R54" i="10"/>
  <c r="R62" i="10"/>
  <c r="R70" i="10"/>
  <c r="R78" i="10"/>
  <c r="R86" i="10"/>
  <c r="R94" i="10"/>
  <c r="R102" i="10"/>
  <c r="R110" i="10"/>
  <c r="R118" i="10"/>
  <c r="R126" i="10"/>
  <c r="R134" i="10"/>
  <c r="R142" i="10"/>
  <c r="R150" i="10"/>
  <c r="R158" i="10"/>
  <c r="R166" i="10"/>
  <c r="R174" i="10"/>
  <c r="R182" i="10"/>
  <c r="R190" i="10"/>
  <c r="R198" i="10"/>
  <c r="R206" i="10"/>
  <c r="R214" i="10"/>
  <c r="R222" i="10"/>
  <c r="R230" i="10"/>
  <c r="R238" i="10"/>
  <c r="R246" i="10"/>
  <c r="R255" i="10"/>
  <c r="R263" i="10"/>
  <c r="R271" i="10"/>
  <c r="R279" i="10"/>
  <c r="X6" i="8"/>
  <c r="X5" i="8"/>
  <c r="X4" i="8"/>
  <c r="H7" i="8"/>
  <c r="H10" i="8" s="1"/>
  <c r="H12" i="8" s="1"/>
  <c r="I7" i="8"/>
  <c r="I10" i="8" s="1"/>
  <c r="I12" i="8" s="1"/>
  <c r="J16" i="8"/>
  <c r="K7" i="8"/>
  <c r="K10" i="8" s="1"/>
  <c r="K12" i="8" s="1"/>
  <c r="L7" i="8"/>
  <c r="L10" i="8" s="1"/>
  <c r="L12" i="8" s="1"/>
  <c r="M7" i="8"/>
  <c r="M10" i="8" s="1"/>
  <c r="M12" i="8" s="1"/>
  <c r="N7" i="8"/>
  <c r="N10" i="8" s="1"/>
  <c r="N12" i="8" s="1"/>
  <c r="O7" i="8"/>
  <c r="O10" i="8" s="1"/>
  <c r="O12" i="8" s="1"/>
  <c r="P7" i="8"/>
  <c r="P10" i="8" s="1"/>
  <c r="P12" i="8" s="1"/>
  <c r="Q7" i="8"/>
  <c r="Q10" i="8" s="1"/>
  <c r="Q12" i="8" s="1"/>
  <c r="R7" i="8"/>
  <c r="R10" i="8" s="1"/>
  <c r="R16" i="8" s="1"/>
  <c r="S7" i="8"/>
  <c r="S10" i="8" s="1"/>
  <c r="S12" i="8" s="1"/>
  <c r="T7" i="8"/>
  <c r="T10" i="8" s="1"/>
  <c r="T12" i="8" s="1"/>
  <c r="U7" i="8"/>
  <c r="U10" i="8" s="1"/>
  <c r="U12" i="8" s="1"/>
  <c r="D7" i="8"/>
  <c r="D10" i="8" s="1"/>
  <c r="D12" i="8" s="1"/>
  <c r="D14" i="8" s="1"/>
  <c r="E7" i="8"/>
  <c r="E10" i="8" s="1"/>
  <c r="E12" i="8" s="1"/>
  <c r="E14" i="8" s="1"/>
  <c r="G283" i="1" s="1"/>
  <c r="F7" i="8"/>
  <c r="F10" i="8" s="1"/>
  <c r="F12" i="8" s="1"/>
  <c r="C7" i="8"/>
  <c r="C10" i="8" s="1"/>
  <c r="R22" i="22" l="1"/>
  <c r="Q165" i="10"/>
  <c r="Q243" i="10"/>
  <c r="Q109" i="10"/>
  <c r="Q218" i="10"/>
  <c r="Q273" i="10"/>
  <c r="Q219" i="10"/>
  <c r="Q54" i="10"/>
  <c r="Q68" i="10"/>
  <c r="Q259" i="10"/>
  <c r="Q187" i="10"/>
  <c r="Q101" i="10"/>
  <c r="Q267" i="10"/>
  <c r="Q198" i="10"/>
  <c r="Q213" i="10"/>
  <c r="Q65" i="10"/>
  <c r="Q140" i="10"/>
  <c r="Q200" i="10"/>
  <c r="Q199" i="10"/>
  <c r="Q221" i="10"/>
  <c r="Q22" i="10"/>
  <c r="Q161" i="10"/>
  <c r="L19" i="24"/>
  <c r="Q146" i="10"/>
  <c r="Q39" i="10"/>
  <c r="Q116" i="10"/>
  <c r="Q246" i="10"/>
  <c r="Q220" i="10"/>
  <c r="Q282" i="10"/>
  <c r="Q42" i="10"/>
  <c r="Q36" i="10"/>
  <c r="Q158" i="10"/>
  <c r="Q202" i="10"/>
  <c r="Q84" i="10"/>
  <c r="Q274" i="10"/>
  <c r="Q263" i="10"/>
  <c r="Q107" i="10"/>
  <c r="Q102" i="10"/>
  <c r="Q95" i="10"/>
  <c r="Q120" i="10"/>
  <c r="Q94" i="10"/>
  <c r="Q163" i="10"/>
  <c r="Q149" i="10"/>
  <c r="Q266" i="10"/>
  <c r="Q210" i="10"/>
  <c r="Q88" i="10"/>
  <c r="Q194" i="10"/>
  <c r="Q251" i="10"/>
  <c r="Q75" i="10"/>
  <c r="Q53" i="10"/>
  <c r="Q32" i="10"/>
  <c r="Q171" i="10"/>
  <c r="Q24" i="10"/>
  <c r="Q168" i="10"/>
  <c r="Q197" i="10"/>
  <c r="Q30" i="10"/>
  <c r="Q182" i="10"/>
  <c r="Q228" i="10"/>
  <c r="Q142" i="10"/>
  <c r="Q276" i="10"/>
  <c r="Q241" i="10"/>
  <c r="Q143" i="10"/>
  <c r="Q132" i="10"/>
  <c r="Q134" i="10"/>
  <c r="Q63" i="10"/>
  <c r="Q130" i="10"/>
  <c r="Q184" i="10"/>
  <c r="Q174" i="10"/>
  <c r="Q164" i="10"/>
  <c r="Q236" i="10"/>
  <c r="Q269" i="10"/>
  <c r="Q169" i="10"/>
  <c r="Q268" i="10"/>
  <c r="Q21" i="10"/>
  <c r="Q103" i="10"/>
  <c r="Q151" i="10"/>
  <c r="Q208" i="10"/>
  <c r="Q195" i="10"/>
  <c r="Q250" i="10"/>
  <c r="Q66" i="10"/>
  <c r="Q55" i="10"/>
  <c r="Q181" i="10"/>
  <c r="Q18" i="10"/>
  <c r="Q48" i="10"/>
  <c r="Q138" i="10"/>
  <c r="Q144" i="10"/>
  <c r="Q93" i="10"/>
  <c r="Q85" i="10"/>
  <c r="Q115" i="10"/>
  <c r="Q275" i="10"/>
  <c r="Q9" i="10"/>
  <c r="Q254" i="10"/>
  <c r="Q97" i="10"/>
  <c r="Q31" i="10"/>
  <c r="Q67" i="10"/>
  <c r="Q49" i="10"/>
  <c r="Q98" i="10"/>
  <c r="Q131" i="10"/>
  <c r="Q180" i="10"/>
  <c r="Q207" i="10"/>
  <c r="Q222" i="10"/>
  <c r="Q229" i="10"/>
  <c r="J19" i="24"/>
  <c r="Q14" i="10"/>
  <c r="Q127" i="10"/>
  <c r="Q123" i="10"/>
  <c r="Q47" i="10"/>
  <c r="Q137" i="10"/>
  <c r="Q145" i="10"/>
  <c r="Q86" i="10"/>
  <c r="Q175" i="10"/>
  <c r="Q201" i="10"/>
  <c r="Q6" i="10"/>
  <c r="Q61" i="10"/>
  <c r="Q121" i="10"/>
  <c r="Q124" i="10"/>
  <c r="Q76" i="10"/>
  <c r="Q192" i="10"/>
  <c r="Q215" i="10"/>
  <c r="Q233" i="10"/>
  <c r="Q129" i="10"/>
  <c r="Q238" i="10"/>
  <c r="Q264" i="10"/>
  <c r="Q80" i="10"/>
  <c r="Q148" i="10"/>
  <c r="Q224" i="10"/>
  <c r="Q25" i="10"/>
  <c r="Q37" i="10"/>
  <c r="Q167" i="10"/>
  <c r="Q155" i="10"/>
  <c r="Q216" i="10"/>
  <c r="Q239" i="10"/>
  <c r="Q156" i="10"/>
  <c r="Q235" i="10"/>
  <c r="Q227" i="10"/>
  <c r="Q281" i="10"/>
  <c r="Q117" i="10"/>
  <c r="Q212" i="10"/>
  <c r="Q70" i="10"/>
  <c r="Q279" i="10"/>
  <c r="Q133" i="10"/>
  <c r="Q185" i="10"/>
  <c r="Q56" i="10"/>
  <c r="Q150" i="10"/>
  <c r="Q112" i="10"/>
  <c r="Q91" i="10"/>
  <c r="Q12" i="10"/>
  <c r="Q110" i="10"/>
  <c r="Q27" i="10"/>
  <c r="Q52" i="10"/>
  <c r="Q128" i="10"/>
  <c r="Q217" i="10"/>
  <c r="Q196" i="10"/>
  <c r="Q118" i="10"/>
  <c r="Q104" i="10"/>
  <c r="Q189" i="10"/>
  <c r="Q7" i="10"/>
  <c r="Q172" i="10"/>
  <c r="Q177" i="10"/>
  <c r="Q193" i="10"/>
  <c r="P19" i="24"/>
  <c r="Q78" i="10"/>
  <c r="Q170" i="10"/>
  <c r="Q252" i="10"/>
  <c r="Q15" i="10"/>
  <c r="N19" i="24"/>
  <c r="Q248" i="10"/>
  <c r="Q17" i="10"/>
  <c r="Q73" i="10"/>
  <c r="Q59" i="10"/>
  <c r="Q186" i="10"/>
  <c r="Q74" i="10"/>
  <c r="Q257" i="10"/>
  <c r="Q234" i="10"/>
  <c r="Q211" i="10"/>
  <c r="Q71" i="10"/>
  <c r="P282" i="14"/>
  <c r="P261" i="14"/>
  <c r="P262" i="14"/>
  <c r="P276" i="14"/>
  <c r="S276" i="14" s="1"/>
  <c r="O277" i="10" s="1"/>
  <c r="P196" i="14"/>
  <c r="S196" i="14" s="1"/>
  <c r="O196" i="10" s="1"/>
  <c r="P202" i="14"/>
  <c r="S202" i="14" s="1"/>
  <c r="O202" i="10" s="1"/>
  <c r="P197" i="14"/>
  <c r="S197" i="14" s="1"/>
  <c r="O197" i="10" s="1"/>
  <c r="P216" i="14"/>
  <c r="S216" i="14" s="1"/>
  <c r="O216" i="10" s="1"/>
  <c r="P219" i="14"/>
  <c r="S219" i="14" s="1"/>
  <c r="O219" i="10" s="1"/>
  <c r="P222" i="14"/>
  <c r="S222" i="14" s="1"/>
  <c r="O222" i="10" s="1"/>
  <c r="P225" i="14"/>
  <c r="S225" i="14" s="1"/>
  <c r="O225" i="10" s="1"/>
  <c r="P158" i="14"/>
  <c r="S158" i="14" s="1"/>
  <c r="O158" i="10" s="1"/>
  <c r="P177" i="14"/>
  <c r="P172" i="14"/>
  <c r="P175" i="14"/>
  <c r="S175" i="14" s="1"/>
  <c r="O175" i="10" s="1"/>
  <c r="P181" i="14"/>
  <c r="S181" i="14" s="1"/>
  <c r="O181" i="10" s="1"/>
  <c r="P94" i="14"/>
  <c r="S94" i="14" s="1"/>
  <c r="O94" i="10" s="1"/>
  <c r="P88" i="14"/>
  <c r="S88" i="14" s="1"/>
  <c r="O88" i="10" s="1"/>
  <c r="P86" i="14"/>
  <c r="S86" i="14" s="1"/>
  <c r="O86" i="10" s="1"/>
  <c r="P47" i="14"/>
  <c r="S47" i="14" s="1"/>
  <c r="O47" i="10" s="1"/>
  <c r="P5" i="14"/>
  <c r="S5" i="14" s="1"/>
  <c r="O5" i="10" s="1"/>
  <c r="P46" i="14"/>
  <c r="S46" i="14" s="1"/>
  <c r="O46" i="10" s="1"/>
  <c r="P20" i="14"/>
  <c r="S20" i="14" s="1"/>
  <c r="O20" i="10" s="1"/>
  <c r="P251" i="14"/>
  <c r="S251" i="14" s="1"/>
  <c r="O252" i="10" s="1"/>
  <c r="P253" i="14"/>
  <c r="S253" i="14" s="1"/>
  <c r="O254" i="10" s="1"/>
  <c r="P254" i="14"/>
  <c r="P268" i="14"/>
  <c r="S268" i="14" s="1"/>
  <c r="O269" i="10" s="1"/>
  <c r="P188" i="14"/>
  <c r="P194" i="14"/>
  <c r="S194" i="14" s="1"/>
  <c r="O194" i="10" s="1"/>
  <c r="P189" i="14"/>
  <c r="S189" i="14" s="1"/>
  <c r="O189" i="10" s="1"/>
  <c r="P208" i="14"/>
  <c r="S208" i="14" s="1"/>
  <c r="O208" i="10" s="1"/>
  <c r="P211" i="14"/>
  <c r="S211" i="14" s="1"/>
  <c r="O211" i="10" s="1"/>
  <c r="P214" i="14"/>
  <c r="P217" i="14"/>
  <c r="S217" i="14" s="1"/>
  <c r="O217" i="10" s="1"/>
  <c r="P150" i="14"/>
  <c r="S150" i="14" s="1"/>
  <c r="O150" i="10" s="1"/>
  <c r="P169" i="14"/>
  <c r="S169" i="14" s="1"/>
  <c r="O169" i="10" s="1"/>
  <c r="P164" i="14"/>
  <c r="S164" i="14" s="1"/>
  <c r="O164" i="10" s="1"/>
  <c r="P167" i="14"/>
  <c r="S167" i="14" s="1"/>
  <c r="O167" i="10" s="1"/>
  <c r="P173" i="14"/>
  <c r="S173" i="14" s="1"/>
  <c r="O173" i="10" s="1"/>
  <c r="P79" i="14"/>
  <c r="P80" i="14"/>
  <c r="S80" i="14" s="1"/>
  <c r="O80" i="10" s="1"/>
  <c r="P78" i="14"/>
  <c r="S78" i="14" s="1"/>
  <c r="O78" i="10" s="1"/>
  <c r="P39" i="14"/>
  <c r="S39" i="14" s="1"/>
  <c r="O39" i="10" s="1"/>
  <c r="P56" i="14"/>
  <c r="S56" i="14" s="1"/>
  <c r="O56" i="10" s="1"/>
  <c r="P38" i="14"/>
  <c r="P12" i="14"/>
  <c r="S12" i="14" s="1"/>
  <c r="O12" i="10" s="1"/>
  <c r="P215" i="14"/>
  <c r="S215" i="14" s="1"/>
  <c r="O215" i="10" s="1"/>
  <c r="P239" i="14"/>
  <c r="S239" i="14" s="1"/>
  <c r="O239" i="10" s="1"/>
  <c r="P247" i="14"/>
  <c r="P260" i="14"/>
  <c r="P160" i="14"/>
  <c r="P176" i="14"/>
  <c r="P184" i="14"/>
  <c r="S184" i="14" s="1"/>
  <c r="O184" i="10" s="1"/>
  <c r="P200" i="14"/>
  <c r="S200" i="14" s="1"/>
  <c r="O200" i="10" s="1"/>
  <c r="P203" i="14"/>
  <c r="P206" i="14"/>
  <c r="S206" i="14" s="1"/>
  <c r="O206" i="10" s="1"/>
  <c r="P209" i="14"/>
  <c r="P142" i="14"/>
  <c r="S142" i="14" s="1"/>
  <c r="O142" i="10" s="1"/>
  <c r="P161" i="14"/>
  <c r="S161" i="14" s="1"/>
  <c r="O161" i="10" s="1"/>
  <c r="P156" i="14"/>
  <c r="S156" i="14" s="1"/>
  <c r="O156" i="10" s="1"/>
  <c r="P159" i="14"/>
  <c r="P165" i="14"/>
  <c r="S165" i="14" s="1"/>
  <c r="O165" i="10" s="1"/>
  <c r="P90" i="14"/>
  <c r="S90" i="14" s="1"/>
  <c r="O90" i="10" s="1"/>
  <c r="P72" i="14"/>
  <c r="P70" i="14"/>
  <c r="S70" i="14" s="1"/>
  <c r="O70" i="10" s="1"/>
  <c r="P31" i="14"/>
  <c r="P48" i="14"/>
  <c r="S48" i="14" s="1"/>
  <c r="O48" i="10" s="1"/>
  <c r="P30" i="14"/>
  <c r="S30" i="14" s="1"/>
  <c r="O30" i="10" s="1"/>
  <c r="P271" i="14"/>
  <c r="S271" i="14" s="1"/>
  <c r="O272" i="10" s="1"/>
  <c r="P155" i="14"/>
  <c r="S155" i="14" s="1"/>
  <c r="O155" i="10" s="1"/>
  <c r="P281" i="14"/>
  <c r="S281" i="14" s="1"/>
  <c r="O282" i="10" s="1"/>
  <c r="P186" i="14"/>
  <c r="S186" i="14" s="1"/>
  <c r="O186" i="10" s="1"/>
  <c r="P114" i="14"/>
  <c r="S114" i="14" s="1"/>
  <c r="O114" i="10" s="1"/>
  <c r="P130" i="14"/>
  <c r="S130" i="14" s="1"/>
  <c r="O130" i="10" s="1"/>
  <c r="P138" i="14"/>
  <c r="S138" i="14" s="1"/>
  <c r="O138" i="10" s="1"/>
  <c r="P187" i="14"/>
  <c r="S187" i="14" s="1"/>
  <c r="O187" i="10" s="1"/>
  <c r="P154" i="14"/>
  <c r="P190" i="14"/>
  <c r="S190" i="14" s="1"/>
  <c r="O190" i="10" s="1"/>
  <c r="P193" i="14"/>
  <c r="S193" i="14" s="1"/>
  <c r="O193" i="10" s="1"/>
  <c r="P126" i="14"/>
  <c r="P137" i="14"/>
  <c r="S137" i="14" s="1"/>
  <c r="O137" i="10" s="1"/>
  <c r="P140" i="14"/>
  <c r="S140" i="14" s="1"/>
  <c r="O140" i="10" s="1"/>
  <c r="P143" i="14"/>
  <c r="S143" i="14" s="1"/>
  <c r="O143" i="10" s="1"/>
  <c r="P149" i="14"/>
  <c r="S149" i="14" s="1"/>
  <c r="O149" i="10" s="1"/>
  <c r="P74" i="14"/>
  <c r="S74" i="14" s="1"/>
  <c r="O74" i="10" s="1"/>
  <c r="P50" i="14"/>
  <c r="S50" i="14" s="1"/>
  <c r="O50" i="10" s="1"/>
  <c r="P42" i="14"/>
  <c r="S42" i="14" s="1"/>
  <c r="O42" i="10" s="1"/>
  <c r="P15" i="14"/>
  <c r="S15" i="14" s="1"/>
  <c r="O15" i="10" s="1"/>
  <c r="P32" i="14"/>
  <c r="S32" i="14" s="1"/>
  <c r="O32" i="10" s="1"/>
  <c r="P14" i="14"/>
  <c r="S14" i="14" s="1"/>
  <c r="O14" i="10" s="1"/>
  <c r="P255" i="14"/>
  <c r="P199" i="14"/>
  <c r="S199" i="14" s="1"/>
  <c r="O199" i="10" s="1"/>
  <c r="P273" i="14"/>
  <c r="S273" i="14" s="1"/>
  <c r="O274" i="10" s="1"/>
  <c r="P252" i="14"/>
  <c r="P81" i="14"/>
  <c r="S81" i="14" s="1"/>
  <c r="O81" i="10" s="1"/>
  <c r="P112" i="14"/>
  <c r="S112" i="14" s="1"/>
  <c r="O112" i="10" s="1"/>
  <c r="P120" i="14"/>
  <c r="S120" i="14" s="1"/>
  <c r="O120" i="10" s="1"/>
  <c r="P179" i="14"/>
  <c r="P136" i="14"/>
  <c r="S136" i="14" s="1"/>
  <c r="O136" i="10" s="1"/>
  <c r="P162" i="14"/>
  <c r="S162" i="14" s="1"/>
  <c r="O162" i="10" s="1"/>
  <c r="P170" i="14"/>
  <c r="S170" i="14" s="1"/>
  <c r="O170" i="10" s="1"/>
  <c r="P118" i="14"/>
  <c r="S118" i="14" s="1"/>
  <c r="O118" i="10" s="1"/>
  <c r="P129" i="14"/>
  <c r="S129" i="14" s="1"/>
  <c r="O129" i="10" s="1"/>
  <c r="P132" i="14"/>
  <c r="S132" i="14" s="1"/>
  <c r="O132" i="10" s="1"/>
  <c r="P135" i="14"/>
  <c r="S135" i="14" s="1"/>
  <c r="O135" i="10" s="1"/>
  <c r="P141" i="14"/>
  <c r="S141" i="14" s="1"/>
  <c r="O141" i="10" s="1"/>
  <c r="P66" i="14"/>
  <c r="S66" i="14" s="1"/>
  <c r="O66" i="10" s="1"/>
  <c r="P91" i="14"/>
  <c r="S91" i="14" s="1"/>
  <c r="O91" i="10" s="1"/>
  <c r="P92" i="14"/>
  <c r="S92" i="14" s="1"/>
  <c r="O92" i="10" s="1"/>
  <c r="P7" i="14"/>
  <c r="S7" i="14" s="1"/>
  <c r="O7" i="10" s="1"/>
  <c r="P24" i="14"/>
  <c r="S24" i="14" s="1"/>
  <c r="O24" i="10" s="1"/>
  <c r="P6" i="14"/>
  <c r="S6" i="14" s="1"/>
  <c r="O6" i="10" s="1"/>
  <c r="Q242" i="10"/>
  <c r="Q147" i="10"/>
  <c r="Q72" i="10"/>
  <c r="Q13" i="10"/>
  <c r="Q43" i="10"/>
  <c r="Q126" i="10"/>
  <c r="Q69" i="10"/>
  <c r="Q176" i="10"/>
  <c r="Q261" i="10"/>
  <c r="Q214" i="10"/>
  <c r="Q106" i="10"/>
  <c r="Q256" i="10"/>
  <c r="Q209" i="10"/>
  <c r="Q96" i="10"/>
  <c r="Q57" i="10"/>
  <c r="Q255" i="10"/>
  <c r="Q253" i="10"/>
  <c r="Q38" i="10"/>
  <c r="Q154" i="10"/>
  <c r="Q77" i="10"/>
  <c r="Q245" i="10"/>
  <c r="Q160" i="10"/>
  <c r="Q79" i="10"/>
  <c r="Q19" i="10"/>
  <c r="P242" i="18"/>
  <c r="D242" i="10" s="1"/>
  <c r="P160" i="18"/>
  <c r="D160" i="10" s="1"/>
  <c r="P89" i="18"/>
  <c r="D89" i="10" s="1"/>
  <c r="P45" i="18"/>
  <c r="D45" i="10" s="1"/>
  <c r="P13" i="18"/>
  <c r="D13" i="10" s="1"/>
  <c r="P237" i="18"/>
  <c r="D237" i="10" s="1"/>
  <c r="P154" i="18"/>
  <c r="D154" i="10" s="1"/>
  <c r="P83" i="18"/>
  <c r="D83" i="10" s="1"/>
  <c r="P43" i="18"/>
  <c r="P72" i="18"/>
  <c r="P244" i="18"/>
  <c r="D244" i="10" s="1"/>
  <c r="P260" i="18"/>
  <c r="D261" i="10" s="1"/>
  <c r="P147" i="18"/>
  <c r="D147" i="10" s="1"/>
  <c r="P79" i="18"/>
  <c r="D79" i="10" s="1"/>
  <c r="P38" i="18"/>
  <c r="D38" i="10" s="1"/>
  <c r="P254" i="18"/>
  <c r="P203" i="18"/>
  <c r="D203" i="10" s="1"/>
  <c r="P57" i="18"/>
  <c r="D57" i="10" s="1"/>
  <c r="P126" i="18"/>
  <c r="D126" i="10" s="1"/>
  <c r="P77" i="18"/>
  <c r="D77" i="10" s="1"/>
  <c r="P19" i="18"/>
  <c r="P119" i="18"/>
  <c r="D119" i="10" s="1"/>
  <c r="P96" i="18"/>
  <c r="P252" i="18"/>
  <c r="D253" i="10" s="1"/>
  <c r="P69" i="18"/>
  <c r="D69" i="10" s="1"/>
  <c r="P245" i="18"/>
  <c r="D245" i="10" s="1"/>
  <c r="P176" i="18"/>
  <c r="D176" i="10" s="1"/>
  <c r="P100" i="18"/>
  <c r="D100" i="10" s="1"/>
  <c r="P60" i="18"/>
  <c r="D60" i="10" s="1"/>
  <c r="M255" i="16"/>
  <c r="C256" i="10" s="1"/>
  <c r="M209" i="16"/>
  <c r="C209" i="10" s="1"/>
  <c r="M126" i="16"/>
  <c r="C126" i="10" s="1"/>
  <c r="M77" i="16"/>
  <c r="C77" i="10" s="1"/>
  <c r="M19" i="16"/>
  <c r="C19" i="10" s="1"/>
  <c r="M254" i="16"/>
  <c r="C255" i="10" s="1"/>
  <c r="M203" i="16"/>
  <c r="C203" i="10" s="1"/>
  <c r="M119" i="16"/>
  <c r="C119" i="10" s="1"/>
  <c r="M176" i="16"/>
  <c r="C176" i="10" s="1"/>
  <c r="M96" i="16"/>
  <c r="C96" i="10" s="1"/>
  <c r="M252" i="16"/>
  <c r="C253" i="10" s="1"/>
  <c r="M179" i="16"/>
  <c r="C179" i="10" s="1"/>
  <c r="M106" i="16"/>
  <c r="C106" i="10" s="1"/>
  <c r="M69" i="16"/>
  <c r="C69" i="10" s="1"/>
  <c r="M245" i="16"/>
  <c r="C245" i="10" s="1"/>
  <c r="M57" i="16"/>
  <c r="C57" i="10" s="1"/>
  <c r="M282" i="16"/>
  <c r="C283" i="10" s="1"/>
  <c r="M242" i="16"/>
  <c r="C242" i="10" s="1"/>
  <c r="M160" i="16"/>
  <c r="C160" i="10" s="1"/>
  <c r="M89" i="16"/>
  <c r="C89" i="10" s="1"/>
  <c r="M45" i="16"/>
  <c r="C45" i="10" s="1"/>
  <c r="M214" i="16"/>
  <c r="C214" i="10" s="1"/>
  <c r="M79" i="16"/>
  <c r="C79" i="10" s="1"/>
  <c r="M72" i="16"/>
  <c r="C72" i="10" s="1"/>
  <c r="M100" i="16"/>
  <c r="C100" i="10" s="1"/>
  <c r="M166" i="16"/>
  <c r="C166" i="10" s="1"/>
  <c r="M261" i="16"/>
  <c r="C262" i="10" s="1"/>
  <c r="M237" i="16"/>
  <c r="C237" i="10" s="1"/>
  <c r="M154" i="16"/>
  <c r="C154" i="10" s="1"/>
  <c r="M83" i="16"/>
  <c r="C83" i="10" s="1"/>
  <c r="M43" i="16"/>
  <c r="C43" i="10" s="1"/>
  <c r="M260" i="16"/>
  <c r="C261" i="10" s="1"/>
  <c r="M147" i="16"/>
  <c r="C147" i="10" s="1"/>
  <c r="M38" i="16"/>
  <c r="C38" i="10" s="1"/>
  <c r="M13" i="16"/>
  <c r="C13" i="10" s="1"/>
  <c r="M60" i="16"/>
  <c r="C60" i="10" s="1"/>
  <c r="M244" i="16"/>
  <c r="C244" i="10" s="1"/>
  <c r="E282" i="14"/>
  <c r="S282" i="14" s="1"/>
  <c r="E242" i="14"/>
  <c r="S242" i="14" s="1"/>
  <c r="E160" i="14"/>
  <c r="S160" i="14" s="1"/>
  <c r="O160" i="10" s="1"/>
  <c r="E89" i="14"/>
  <c r="S89" i="14" s="1"/>
  <c r="O89" i="10" s="1"/>
  <c r="E45" i="14"/>
  <c r="S45" i="14" s="1"/>
  <c r="O45" i="10" s="1"/>
  <c r="E252" i="14"/>
  <c r="S252" i="14" s="1"/>
  <c r="O253" i="10" s="1"/>
  <c r="E245" i="14"/>
  <c r="S245" i="14" s="1"/>
  <c r="O245" i="10" s="1"/>
  <c r="E166" i="14"/>
  <c r="S166" i="14" s="1"/>
  <c r="O166" i="10" s="1"/>
  <c r="E261" i="14"/>
  <c r="S261" i="14" s="1"/>
  <c r="O262" i="10" s="1"/>
  <c r="E237" i="14"/>
  <c r="S237" i="14" s="1"/>
  <c r="O237" i="10" s="1"/>
  <c r="E154" i="14"/>
  <c r="S154" i="14" s="1"/>
  <c r="O154" i="10" s="1"/>
  <c r="E83" i="14"/>
  <c r="S83" i="14" s="1"/>
  <c r="O83" i="10" s="1"/>
  <c r="E43" i="14"/>
  <c r="S43" i="14" s="1"/>
  <c r="O43" i="10" s="1"/>
  <c r="E69" i="14"/>
  <c r="S69" i="14" s="1"/>
  <c r="O69" i="10" s="1"/>
  <c r="E176" i="14"/>
  <c r="S176" i="14" s="1"/>
  <c r="O176" i="10" s="1"/>
  <c r="E57" i="14"/>
  <c r="S57" i="14" s="1"/>
  <c r="O57" i="10" s="1"/>
  <c r="E260" i="14"/>
  <c r="S260" i="14" s="1"/>
  <c r="E214" i="14"/>
  <c r="S214" i="14" s="1"/>
  <c r="O214" i="10" s="1"/>
  <c r="E147" i="14"/>
  <c r="S147" i="14" s="1"/>
  <c r="O147" i="10" s="1"/>
  <c r="E79" i="14"/>
  <c r="S79" i="14" s="1"/>
  <c r="O79" i="10" s="1"/>
  <c r="E38" i="14"/>
  <c r="S38" i="14" s="1"/>
  <c r="O38" i="10" s="1"/>
  <c r="E179" i="14"/>
  <c r="S179" i="14" s="1"/>
  <c r="O179" i="10" s="1"/>
  <c r="E60" i="14"/>
  <c r="S60" i="14" s="1"/>
  <c r="O60" i="10" s="1"/>
  <c r="E244" i="14"/>
  <c r="S244" i="14" s="1"/>
  <c r="O244" i="10" s="1"/>
  <c r="E255" i="14"/>
  <c r="S255" i="14" s="1"/>
  <c r="E209" i="14"/>
  <c r="S209" i="14" s="1"/>
  <c r="E126" i="14"/>
  <c r="S126" i="14" s="1"/>
  <c r="O126" i="10" s="1"/>
  <c r="E77" i="14"/>
  <c r="S77" i="14" s="1"/>
  <c r="O77" i="10" s="1"/>
  <c r="E19" i="14"/>
  <c r="S19" i="14" s="1"/>
  <c r="O19" i="10" s="1"/>
  <c r="E106" i="14"/>
  <c r="S106" i="14" s="1"/>
  <c r="O106" i="10" s="1"/>
  <c r="E100" i="14"/>
  <c r="S100" i="14" s="1"/>
  <c r="O100" i="10" s="1"/>
  <c r="E96" i="14"/>
  <c r="S96" i="14" s="1"/>
  <c r="O96" i="10" s="1"/>
  <c r="E254" i="14"/>
  <c r="S254" i="14" s="1"/>
  <c r="O255" i="10" s="1"/>
  <c r="E203" i="14"/>
  <c r="S203" i="14" s="1"/>
  <c r="O203" i="10" s="1"/>
  <c r="E119" i="14"/>
  <c r="S119" i="14" s="1"/>
  <c r="O119" i="10" s="1"/>
  <c r="E72" i="14"/>
  <c r="S72" i="14" s="1"/>
  <c r="O72" i="10" s="1"/>
  <c r="E13" i="14"/>
  <c r="S13" i="14" s="1"/>
  <c r="O13" i="10" s="1"/>
  <c r="F283" i="1"/>
  <c r="P46" i="18"/>
  <c r="D46" i="10" s="1"/>
  <c r="M186" i="16"/>
  <c r="C186" i="10" s="1"/>
  <c r="Q99" i="10"/>
  <c r="Q278" i="10"/>
  <c r="Q205" i="10"/>
  <c r="Q247" i="10"/>
  <c r="Q178" i="10"/>
  <c r="Q16" i="10"/>
  <c r="Q20" i="10"/>
  <c r="Q270" i="10"/>
  <c r="Q280" i="10"/>
  <c r="Q4" i="10"/>
  <c r="Q225" i="10"/>
  <c r="Q173" i="10"/>
  <c r="Q136" i="10"/>
  <c r="Q125" i="10"/>
  <c r="Q46" i="10"/>
  <c r="Q8" i="10"/>
  <c r="Q10" i="10"/>
  <c r="Q139" i="10"/>
  <c r="Q81" i="10"/>
  <c r="Q50" i="10"/>
  <c r="Q265" i="10"/>
  <c r="Q272" i="10"/>
  <c r="Q188" i="10"/>
  <c r="Q190" i="10"/>
  <c r="Q206" i="10"/>
  <c r="Q231" i="10"/>
  <c r="Q162" i="10"/>
  <c r="Q108" i="10"/>
  <c r="Q44" i="10"/>
  <c r="Q64" i="10"/>
  <c r="Q33" i="10"/>
  <c r="Q35" i="10"/>
  <c r="Q45" i="10"/>
  <c r="Q260" i="10"/>
  <c r="Q223" i="10"/>
  <c r="Q240" i="10"/>
  <c r="Q157" i="10"/>
  <c r="Q183" i="10"/>
  <c r="Q58" i="10"/>
  <c r="Q23" i="10"/>
  <c r="Q203" i="10"/>
  <c r="Q232" i="10"/>
  <c r="Q135" i="10"/>
  <c r="Q122" i="10"/>
  <c r="Q90" i="10"/>
  <c r="Q100" i="10"/>
  <c r="Q41" i="10"/>
  <c r="Q29" i="10"/>
  <c r="Q271" i="10"/>
  <c r="Q141" i="10"/>
  <c r="Q226" i="10"/>
  <c r="Q153" i="10"/>
  <c r="Q114" i="10"/>
  <c r="Q105" i="10"/>
  <c r="Q82" i="10"/>
  <c r="Q92" i="10"/>
  <c r="Q11" i="10"/>
  <c r="Q283" i="10"/>
  <c r="Q277" i="10"/>
  <c r="Q159" i="10"/>
  <c r="Q152" i="10"/>
  <c r="Q119" i="10"/>
  <c r="Q51" i="10"/>
  <c r="Q40" i="10"/>
  <c r="Q258" i="10"/>
  <c r="Q204" i="10"/>
  <c r="Q230" i="10"/>
  <c r="Q191" i="10"/>
  <c r="Q179" i="10"/>
  <c r="Q111" i="10"/>
  <c r="Q113" i="10"/>
  <c r="Q87" i="10"/>
  <c r="Q26" i="10"/>
  <c r="Q28" i="10"/>
  <c r="Q5" i="10"/>
  <c r="P133" i="18"/>
  <c r="D133" i="10" s="1"/>
  <c r="P257" i="18"/>
  <c r="D258" i="10" s="1"/>
  <c r="P273" i="18"/>
  <c r="D274" i="10" s="1"/>
  <c r="P229" i="18"/>
  <c r="D229" i="10" s="1"/>
  <c r="P213" i="18"/>
  <c r="D213" i="10" s="1"/>
  <c r="P101" i="18"/>
  <c r="D101" i="10" s="1"/>
  <c r="P153" i="18"/>
  <c r="D153" i="10" s="1"/>
  <c r="P195" i="18"/>
  <c r="D195" i="10" s="1"/>
  <c r="P145" i="18"/>
  <c r="D145" i="10" s="1"/>
  <c r="P117" i="18"/>
  <c r="D117" i="10" s="1"/>
  <c r="P121" i="18"/>
  <c r="D121" i="10" s="1"/>
  <c r="P113" i="18"/>
  <c r="D113" i="10" s="1"/>
  <c r="P250" i="18"/>
  <c r="D251" i="10" s="1"/>
  <c r="P162" i="18"/>
  <c r="D162" i="10" s="1"/>
  <c r="P109" i="18"/>
  <c r="D109" i="10" s="1"/>
  <c r="P158" i="18"/>
  <c r="D158" i="10" s="1"/>
  <c r="P217" i="18"/>
  <c r="D217" i="10" s="1"/>
  <c r="P185" i="18"/>
  <c r="D185" i="10" s="1"/>
  <c r="P220" i="18"/>
  <c r="D220" i="10" s="1"/>
  <c r="P188" i="18"/>
  <c r="D188" i="10" s="1"/>
  <c r="P149" i="18"/>
  <c r="D149" i="10" s="1"/>
  <c r="P130" i="18"/>
  <c r="D130" i="10" s="1"/>
  <c r="P16" i="18"/>
  <c r="D16" i="10" s="1"/>
  <c r="P12" i="18"/>
  <c r="D12" i="10" s="1"/>
  <c r="P32" i="18"/>
  <c r="D32" i="10" s="1"/>
  <c r="P20" i="18"/>
  <c r="D20" i="10" s="1"/>
  <c r="P40" i="18"/>
  <c r="D40" i="10" s="1"/>
  <c r="P141" i="18"/>
  <c r="D141" i="10" s="1"/>
  <c r="P159" i="18"/>
  <c r="D159" i="10" s="1"/>
  <c r="P167" i="18"/>
  <c r="D167" i="10" s="1"/>
  <c r="P41" i="18"/>
  <c r="D41" i="10" s="1"/>
  <c r="P49" i="18"/>
  <c r="D49" i="10" s="1"/>
  <c r="P97" i="18"/>
  <c r="D97" i="10" s="1"/>
  <c r="P274" i="18"/>
  <c r="D275" i="10" s="1"/>
  <c r="D255" i="10"/>
  <c r="P194" i="18"/>
  <c r="D194" i="10" s="1"/>
  <c r="P33" i="18"/>
  <c r="D33" i="10" s="1"/>
  <c r="P186" i="18"/>
  <c r="D186" i="10" s="1"/>
  <c r="P253" i="18"/>
  <c r="D254" i="10" s="1"/>
  <c r="P256" i="18"/>
  <c r="D257" i="10" s="1"/>
  <c r="P224" i="18"/>
  <c r="D224" i="10" s="1"/>
  <c r="P259" i="18"/>
  <c r="D260" i="10" s="1"/>
  <c r="P227" i="18"/>
  <c r="D227" i="10" s="1"/>
  <c r="P221" i="18"/>
  <c r="D221" i="10" s="1"/>
  <c r="P189" i="18"/>
  <c r="D189" i="10" s="1"/>
  <c r="P103" i="18"/>
  <c r="D103" i="10" s="1"/>
  <c r="P192" i="18"/>
  <c r="D192" i="10" s="1"/>
  <c r="P112" i="18"/>
  <c r="D112" i="10" s="1"/>
  <c r="P148" i="18"/>
  <c r="D148" i="10" s="1"/>
  <c r="P150" i="18"/>
  <c r="D150" i="10" s="1"/>
  <c r="P84" i="18"/>
  <c r="D84" i="10" s="1"/>
  <c r="P115" i="18"/>
  <c r="D115" i="10" s="1"/>
  <c r="P134" i="18"/>
  <c r="D134" i="10" s="1"/>
  <c r="P98" i="18"/>
  <c r="D98" i="10" s="1"/>
  <c r="P14" i="18"/>
  <c r="D14" i="10" s="1"/>
  <c r="P67" i="18"/>
  <c r="D67" i="10" s="1"/>
  <c r="P85" i="18"/>
  <c r="D85" i="10" s="1"/>
  <c r="P34" i="18"/>
  <c r="D34" i="10" s="1"/>
  <c r="P21" i="18"/>
  <c r="D21" i="10" s="1"/>
  <c r="P59" i="18"/>
  <c r="D59" i="10" s="1"/>
  <c r="P27" i="18"/>
  <c r="D27" i="10" s="1"/>
  <c r="P215" i="18"/>
  <c r="D215" i="10" s="1"/>
  <c r="P146" i="18"/>
  <c r="D146" i="10" s="1"/>
  <c r="P111" i="18"/>
  <c r="D111" i="10" s="1"/>
  <c r="P124" i="18"/>
  <c r="D124" i="10" s="1"/>
  <c r="P226" i="18"/>
  <c r="D226" i="10" s="1"/>
  <c r="P262" i="18"/>
  <c r="D263" i="10" s="1"/>
  <c r="P175" i="18"/>
  <c r="D175" i="10" s="1"/>
  <c r="P151" i="18"/>
  <c r="D151" i="10" s="1"/>
  <c r="P280" i="18"/>
  <c r="D281" i="10" s="1"/>
  <c r="P248" i="18"/>
  <c r="D248" i="10" s="1"/>
  <c r="P218" i="18"/>
  <c r="D218" i="10" s="1"/>
  <c r="P190" i="18"/>
  <c r="D190" i="10" s="1"/>
  <c r="P251" i="18"/>
  <c r="D252" i="10" s="1"/>
  <c r="P210" i="18"/>
  <c r="D210" i="10" s="1"/>
  <c r="P181" i="18"/>
  <c r="D181" i="10" s="1"/>
  <c r="P216" i="18"/>
  <c r="D216" i="10" s="1"/>
  <c r="P184" i="18"/>
  <c r="D184" i="10" s="1"/>
  <c r="P172" i="18"/>
  <c r="D172" i="10" s="1"/>
  <c r="P139" i="18"/>
  <c r="D139" i="10" s="1"/>
  <c r="P107" i="18"/>
  <c r="D107" i="10" s="1"/>
  <c r="P76" i="18"/>
  <c r="D76" i="10" s="1"/>
  <c r="P104" i="18"/>
  <c r="D104" i="10" s="1"/>
  <c r="P91" i="18"/>
  <c r="D91" i="10" s="1"/>
  <c r="P50" i="18"/>
  <c r="D50" i="10" s="1"/>
  <c r="P17" i="18"/>
  <c r="D17" i="10" s="1"/>
  <c r="P6" i="18"/>
  <c r="D6" i="10" s="1"/>
  <c r="P26" i="18"/>
  <c r="D26" i="10" s="1"/>
  <c r="P51" i="18"/>
  <c r="D51" i="10" s="1"/>
  <c r="D19" i="10"/>
  <c r="P281" i="18"/>
  <c r="D282" i="10" s="1"/>
  <c r="P37" i="18"/>
  <c r="D37" i="10" s="1"/>
  <c r="P82" i="18"/>
  <c r="D82" i="10" s="1"/>
  <c r="P207" i="18"/>
  <c r="D207" i="10" s="1"/>
  <c r="P266" i="18"/>
  <c r="D267" i="10" s="1"/>
  <c r="P277" i="18"/>
  <c r="D278" i="10" s="1"/>
  <c r="P187" i="18"/>
  <c r="D187" i="10" s="1"/>
  <c r="P276" i="18"/>
  <c r="D277" i="10" s="1"/>
  <c r="P174" i="18"/>
  <c r="D174" i="10" s="1"/>
  <c r="P182" i="18"/>
  <c r="D182" i="10" s="1"/>
  <c r="P279" i="18"/>
  <c r="D280" i="10" s="1"/>
  <c r="P247" i="18"/>
  <c r="D247" i="10" s="1"/>
  <c r="P155" i="18"/>
  <c r="D155" i="10" s="1"/>
  <c r="P177" i="18"/>
  <c r="D177" i="10" s="1"/>
  <c r="P212" i="18"/>
  <c r="D212" i="10" s="1"/>
  <c r="P180" i="18"/>
  <c r="D180" i="10" s="1"/>
  <c r="P168" i="18"/>
  <c r="D168" i="10" s="1"/>
  <c r="P99" i="18"/>
  <c r="D99" i="10" s="1"/>
  <c r="P140" i="18"/>
  <c r="D140" i="10" s="1"/>
  <c r="P135" i="18"/>
  <c r="D135" i="10" s="1"/>
  <c r="P122" i="18"/>
  <c r="D122" i="10" s="1"/>
  <c r="P74" i="18"/>
  <c r="D74" i="10" s="1"/>
  <c r="P88" i="18"/>
  <c r="D88" i="10" s="1"/>
  <c r="P87" i="18"/>
  <c r="D87" i="10" s="1"/>
  <c r="P30" i="18"/>
  <c r="D30" i="10" s="1"/>
  <c r="P73" i="18"/>
  <c r="D73" i="10" s="1"/>
  <c r="P44" i="18"/>
  <c r="D44" i="10" s="1"/>
  <c r="P5" i="18"/>
  <c r="D5" i="10" s="1"/>
  <c r="P25" i="18"/>
  <c r="D25" i="10" s="1"/>
  <c r="P47" i="18"/>
  <c r="D47" i="10" s="1"/>
  <c r="P15" i="18"/>
  <c r="D15" i="10" s="1"/>
  <c r="P234" i="18"/>
  <c r="D234" i="10" s="1"/>
  <c r="P246" i="18"/>
  <c r="D246" i="10" s="1"/>
  <c r="P191" i="18"/>
  <c r="D191" i="10" s="1"/>
  <c r="P230" i="18"/>
  <c r="D230" i="10" s="1"/>
  <c r="P272" i="18"/>
  <c r="D273" i="10" s="1"/>
  <c r="P240" i="18"/>
  <c r="D240" i="10" s="1"/>
  <c r="P163" i="18"/>
  <c r="D163" i="10" s="1"/>
  <c r="P241" i="18"/>
  <c r="D241" i="10" s="1"/>
  <c r="P120" i="18"/>
  <c r="D120" i="10" s="1"/>
  <c r="P275" i="18"/>
  <c r="D276" i="10" s="1"/>
  <c r="P243" i="18"/>
  <c r="D243" i="10" s="1"/>
  <c r="P125" i="18"/>
  <c r="D125" i="10" s="1"/>
  <c r="P205" i="18"/>
  <c r="D205" i="10" s="1"/>
  <c r="P170" i="18"/>
  <c r="D170" i="10" s="1"/>
  <c r="P208" i="18"/>
  <c r="D208" i="10" s="1"/>
  <c r="P164" i="18"/>
  <c r="D164" i="10" s="1"/>
  <c r="P95" i="18"/>
  <c r="D95" i="10" s="1"/>
  <c r="P102" i="18"/>
  <c r="D102" i="10" s="1"/>
  <c r="P131" i="18"/>
  <c r="D131" i="10" s="1"/>
  <c r="P68" i="18"/>
  <c r="D68" i="10" s="1"/>
  <c r="P118" i="18"/>
  <c r="D118" i="10" s="1"/>
  <c r="D96" i="10"/>
  <c r="P86" i="18"/>
  <c r="D86" i="10" s="1"/>
  <c r="P28" i="18"/>
  <c r="D28" i="10" s="1"/>
  <c r="P56" i="18"/>
  <c r="D56" i="10" s="1"/>
  <c r="P24" i="18"/>
  <c r="D24" i="10" s="1"/>
  <c r="D43" i="10"/>
  <c r="P11" i="18"/>
  <c r="D11" i="10" s="1"/>
  <c r="P202" i="18"/>
  <c r="D202" i="10" s="1"/>
  <c r="P223" i="18"/>
  <c r="D223" i="10" s="1"/>
  <c r="P81" i="18"/>
  <c r="D81" i="10" s="1"/>
  <c r="P249" i="18"/>
  <c r="D250" i="10" s="1"/>
  <c r="P137" i="18"/>
  <c r="D137" i="10" s="1"/>
  <c r="P105" i="18"/>
  <c r="D105" i="10" s="1"/>
  <c r="P183" i="18"/>
  <c r="D183" i="10" s="1"/>
  <c r="P136" i="18"/>
  <c r="D136" i="10" s="1"/>
  <c r="P206" i="18"/>
  <c r="D206" i="10" s="1"/>
  <c r="P199" i="18"/>
  <c r="D199" i="10" s="1"/>
  <c r="P233" i="18"/>
  <c r="D233" i="10" s="1"/>
  <c r="P165" i="18"/>
  <c r="D165" i="10" s="1"/>
  <c r="P268" i="18"/>
  <c r="D269" i="10" s="1"/>
  <c r="P236" i="18"/>
  <c r="D236" i="10" s="1"/>
  <c r="P143" i="18"/>
  <c r="D143" i="10" s="1"/>
  <c r="P90" i="18"/>
  <c r="D90" i="10" s="1"/>
  <c r="P271" i="18"/>
  <c r="D272" i="10" s="1"/>
  <c r="P239" i="18"/>
  <c r="D239" i="10" s="1"/>
  <c r="P171" i="18"/>
  <c r="D171" i="10" s="1"/>
  <c r="P201" i="18"/>
  <c r="D201" i="10" s="1"/>
  <c r="P204" i="18"/>
  <c r="D204" i="10" s="1"/>
  <c r="P70" i="18"/>
  <c r="D70" i="10" s="1"/>
  <c r="P94" i="18"/>
  <c r="D94" i="10" s="1"/>
  <c r="P127" i="18"/>
  <c r="D127" i="10" s="1"/>
  <c r="P66" i="18"/>
  <c r="D66" i="10" s="1"/>
  <c r="P114" i="18"/>
  <c r="D114" i="10" s="1"/>
  <c r="P80" i="18"/>
  <c r="D80" i="10" s="1"/>
  <c r="P63" i="18"/>
  <c r="D63" i="10" s="1"/>
  <c r="P65" i="18"/>
  <c r="D65" i="10" s="1"/>
  <c r="P52" i="18"/>
  <c r="D52" i="10" s="1"/>
  <c r="P10" i="18"/>
  <c r="D10" i="10" s="1"/>
  <c r="P39" i="18"/>
  <c r="D39" i="10" s="1"/>
  <c r="P7" i="18"/>
  <c r="D7" i="10" s="1"/>
  <c r="P258" i="18"/>
  <c r="D259" i="10" s="1"/>
  <c r="P173" i="18"/>
  <c r="D173" i="10" s="1"/>
  <c r="P222" i="18"/>
  <c r="D222" i="10" s="1"/>
  <c r="P198" i="18"/>
  <c r="D198" i="10" s="1"/>
  <c r="P144" i="18"/>
  <c r="D144" i="10" s="1"/>
  <c r="P62" i="18"/>
  <c r="D62" i="10" s="1"/>
  <c r="P55" i="18"/>
  <c r="D55" i="10" s="1"/>
  <c r="P270" i="18"/>
  <c r="D271" i="10" s="1"/>
  <c r="P225" i="18"/>
  <c r="D225" i="10" s="1"/>
  <c r="P108" i="18"/>
  <c r="D108" i="10" s="1"/>
  <c r="P264" i="18"/>
  <c r="D265" i="10" s="1"/>
  <c r="P232" i="18"/>
  <c r="D232" i="10" s="1"/>
  <c r="P4" i="18"/>
  <c r="D4" i="10" s="1"/>
  <c r="P269" i="18"/>
  <c r="D270" i="10" s="1"/>
  <c r="P267" i="18"/>
  <c r="D268" i="10" s="1"/>
  <c r="P235" i="18"/>
  <c r="D235" i="10" s="1"/>
  <c r="P161" i="18"/>
  <c r="D161" i="10" s="1"/>
  <c r="P197" i="18"/>
  <c r="D197" i="10" s="1"/>
  <c r="P132" i="18"/>
  <c r="D132" i="10" s="1"/>
  <c r="P200" i="18"/>
  <c r="D200" i="10" s="1"/>
  <c r="P157" i="18"/>
  <c r="D157" i="10" s="1"/>
  <c r="P156" i="18"/>
  <c r="D156" i="10" s="1"/>
  <c r="P61" i="18"/>
  <c r="D61" i="10" s="1"/>
  <c r="P64" i="18"/>
  <c r="D64" i="10" s="1"/>
  <c r="P123" i="18"/>
  <c r="D123" i="10" s="1"/>
  <c r="P142" i="18"/>
  <c r="D142" i="10" s="1"/>
  <c r="P110" i="18"/>
  <c r="D110" i="10" s="1"/>
  <c r="P78" i="18"/>
  <c r="D78" i="10" s="1"/>
  <c r="P58" i="18"/>
  <c r="D58" i="10" s="1"/>
  <c r="P75" i="18"/>
  <c r="D75" i="10" s="1"/>
  <c r="P93" i="18"/>
  <c r="D93" i="10" s="1"/>
  <c r="P54" i="18"/>
  <c r="D54" i="10" s="1"/>
  <c r="P36" i="18"/>
  <c r="D36" i="10" s="1"/>
  <c r="P48" i="18"/>
  <c r="D48" i="10" s="1"/>
  <c r="P9" i="18"/>
  <c r="D9" i="10" s="1"/>
  <c r="P35" i="18"/>
  <c r="D35" i="10" s="1"/>
  <c r="P265" i="18"/>
  <c r="D266" i="10" s="1"/>
  <c r="P23" i="18"/>
  <c r="D23" i="10" s="1"/>
  <c r="P129" i="18"/>
  <c r="D129" i="10" s="1"/>
  <c r="P278" i="18"/>
  <c r="D279" i="10" s="1"/>
  <c r="P211" i="18"/>
  <c r="D211" i="10" s="1"/>
  <c r="P178" i="18"/>
  <c r="D178" i="10" s="1"/>
  <c r="P238" i="18"/>
  <c r="D238" i="10" s="1"/>
  <c r="P169" i="18"/>
  <c r="D169" i="10" s="1"/>
  <c r="P92" i="18"/>
  <c r="D92" i="10" s="1"/>
  <c r="P228" i="18"/>
  <c r="D228" i="10" s="1"/>
  <c r="P53" i="18"/>
  <c r="D53" i="10" s="1"/>
  <c r="P219" i="18"/>
  <c r="D219" i="10" s="1"/>
  <c r="P263" i="18"/>
  <c r="D264" i="10" s="1"/>
  <c r="P231" i="18"/>
  <c r="D231" i="10" s="1"/>
  <c r="D72" i="10"/>
  <c r="P193" i="18"/>
  <c r="D193" i="10" s="1"/>
  <c r="P116" i="18"/>
  <c r="D116" i="10" s="1"/>
  <c r="P196" i="18"/>
  <c r="D196" i="10" s="1"/>
  <c r="P128" i="18"/>
  <c r="D128" i="10" s="1"/>
  <c r="P152" i="18"/>
  <c r="D152" i="10" s="1"/>
  <c r="P18" i="18"/>
  <c r="D18" i="10" s="1"/>
  <c r="P138" i="18"/>
  <c r="D138" i="10" s="1"/>
  <c r="P29" i="18"/>
  <c r="D29" i="10" s="1"/>
  <c r="P71" i="18"/>
  <c r="D71" i="10" s="1"/>
  <c r="P22" i="18"/>
  <c r="D22" i="10" s="1"/>
  <c r="P42" i="18"/>
  <c r="D42" i="10" s="1"/>
  <c r="P8" i="18"/>
  <c r="D8" i="10" s="1"/>
  <c r="P31" i="18"/>
  <c r="D31" i="10" s="1"/>
  <c r="M122" i="16"/>
  <c r="C122" i="10" s="1"/>
  <c r="M26" i="16"/>
  <c r="C26" i="10" s="1"/>
  <c r="M221" i="16"/>
  <c r="C221" i="10" s="1"/>
  <c r="M231" i="16"/>
  <c r="C231" i="10" s="1"/>
  <c r="M183" i="16"/>
  <c r="C183" i="10" s="1"/>
  <c r="M247" i="16"/>
  <c r="C247" i="10" s="1"/>
  <c r="M229" i="16"/>
  <c r="C229" i="10" s="1"/>
  <c r="M190" i="16"/>
  <c r="C190" i="10" s="1"/>
  <c r="M21" i="16"/>
  <c r="C21" i="10" s="1"/>
  <c r="M168" i="16"/>
  <c r="C168" i="10" s="1"/>
  <c r="M86" i="16"/>
  <c r="C86" i="10" s="1"/>
  <c r="M124" i="16"/>
  <c r="C124" i="10" s="1"/>
  <c r="M165" i="16"/>
  <c r="C165" i="10" s="1"/>
  <c r="M78" i="16"/>
  <c r="C78" i="10" s="1"/>
  <c r="M103" i="16"/>
  <c r="C103" i="10" s="1"/>
  <c r="M23" i="16"/>
  <c r="C23" i="10" s="1"/>
  <c r="M48" i="16"/>
  <c r="C48" i="10" s="1"/>
  <c r="M28" i="16"/>
  <c r="C28" i="10" s="1"/>
  <c r="M107" i="16"/>
  <c r="C107" i="10" s="1"/>
  <c r="M11" i="16"/>
  <c r="C11" i="10" s="1"/>
  <c r="M205" i="16"/>
  <c r="C205" i="10" s="1"/>
  <c r="M246" i="16"/>
  <c r="C246" i="10" s="1"/>
  <c r="M172" i="16"/>
  <c r="C172" i="10" s="1"/>
  <c r="M233" i="16"/>
  <c r="C233" i="10" s="1"/>
  <c r="M110" i="16"/>
  <c r="C110" i="10" s="1"/>
  <c r="M157" i="16"/>
  <c r="C157" i="10" s="1"/>
  <c r="M95" i="16"/>
  <c r="C95" i="10" s="1"/>
  <c r="M182" i="16"/>
  <c r="C182" i="10" s="1"/>
  <c r="M10" i="16"/>
  <c r="C10" i="10" s="1"/>
  <c r="M84" i="16"/>
  <c r="C84" i="10" s="1"/>
  <c r="M92" i="16"/>
  <c r="C92" i="10" s="1"/>
  <c r="M8" i="16"/>
  <c r="C8" i="10" s="1"/>
  <c r="M67" i="16"/>
  <c r="C67" i="10" s="1"/>
  <c r="M158" i="16"/>
  <c r="C158" i="10" s="1"/>
  <c r="M32" i="16"/>
  <c r="C32" i="10" s="1"/>
  <c r="M20" i="16"/>
  <c r="C20" i="10" s="1"/>
  <c r="M218" i="16"/>
  <c r="C218" i="10" s="1"/>
  <c r="M114" i="16"/>
  <c r="C114" i="10" s="1"/>
  <c r="M259" i="16"/>
  <c r="C260" i="10" s="1"/>
  <c r="M195" i="16"/>
  <c r="C195" i="10" s="1"/>
  <c r="M109" i="16"/>
  <c r="C109" i="10" s="1"/>
  <c r="M194" i="16"/>
  <c r="C194" i="10" s="1"/>
  <c r="M236" i="16"/>
  <c r="C236" i="10" s="1"/>
  <c r="M204" i="16"/>
  <c r="C204" i="10" s="1"/>
  <c r="M240" i="16"/>
  <c r="C240" i="10" s="1"/>
  <c r="M224" i="16"/>
  <c r="C224" i="10" s="1"/>
  <c r="M4" i="16"/>
  <c r="C4" i="10" s="1"/>
  <c r="M144" i="16"/>
  <c r="C144" i="10" s="1"/>
  <c r="M189" i="16"/>
  <c r="C189" i="10" s="1"/>
  <c r="M238" i="16"/>
  <c r="C238" i="10" s="1"/>
  <c r="M175" i="16"/>
  <c r="C175" i="10" s="1"/>
  <c r="M199" i="16"/>
  <c r="C199" i="10" s="1"/>
  <c r="M200" i="16"/>
  <c r="C200" i="10" s="1"/>
  <c r="M136" i="16"/>
  <c r="C136" i="10" s="1"/>
  <c r="M225" i="16"/>
  <c r="C225" i="10" s="1"/>
  <c r="M125" i="16"/>
  <c r="C125" i="10" s="1"/>
  <c r="M153" i="16"/>
  <c r="C153" i="10" s="1"/>
  <c r="M30" i="16"/>
  <c r="C30" i="10" s="1"/>
  <c r="M108" i="16"/>
  <c r="C108" i="10" s="1"/>
  <c r="M56" i="16"/>
  <c r="C56" i="10" s="1"/>
  <c r="M101" i="16"/>
  <c r="C101" i="10" s="1"/>
  <c r="M149" i="16"/>
  <c r="C149" i="10" s="1"/>
  <c r="M87" i="16"/>
  <c r="C87" i="10" s="1"/>
  <c r="M104" i="16"/>
  <c r="C104" i="10" s="1"/>
  <c r="M16" i="16"/>
  <c r="C16" i="10" s="1"/>
  <c r="M65" i="16"/>
  <c r="C65" i="10" s="1"/>
  <c r="M49" i="16"/>
  <c r="C49" i="10" s="1"/>
  <c r="M34" i="16"/>
  <c r="C34" i="10" s="1"/>
  <c r="M12" i="16"/>
  <c r="C12" i="10" s="1"/>
  <c r="M155" i="16"/>
  <c r="C155" i="10" s="1"/>
  <c r="M91" i="16"/>
  <c r="C91" i="10" s="1"/>
  <c r="M269" i="16"/>
  <c r="C270" i="10" s="1"/>
  <c r="M81" i="16"/>
  <c r="C81" i="10" s="1"/>
  <c r="M171" i="16"/>
  <c r="C171" i="10" s="1"/>
  <c r="M177" i="16"/>
  <c r="C177" i="10" s="1"/>
  <c r="M239" i="16"/>
  <c r="C239" i="10" s="1"/>
  <c r="M228" i="16"/>
  <c r="C228" i="10" s="1"/>
  <c r="M219" i="16"/>
  <c r="C219" i="10" s="1"/>
  <c r="M178" i="16"/>
  <c r="C178" i="10" s="1"/>
  <c r="M18" i="16"/>
  <c r="C18" i="10" s="1"/>
  <c r="M248" i="16"/>
  <c r="C248" i="10" s="1"/>
  <c r="M220" i="16"/>
  <c r="C220" i="10" s="1"/>
  <c r="M188" i="16"/>
  <c r="C188" i="10" s="1"/>
  <c r="M215" i="16"/>
  <c r="C215" i="10" s="1"/>
  <c r="M143" i="16"/>
  <c r="C143" i="10" s="1"/>
  <c r="M230" i="16"/>
  <c r="C230" i="10" s="1"/>
  <c r="M169" i="16"/>
  <c r="C169" i="10" s="1"/>
  <c r="M191" i="16"/>
  <c r="C191" i="10" s="1"/>
  <c r="M192" i="16"/>
  <c r="C192" i="10" s="1"/>
  <c r="M281" i="16"/>
  <c r="C282" i="10" s="1"/>
  <c r="M217" i="16"/>
  <c r="C217" i="10" s="1"/>
  <c r="M145" i="16"/>
  <c r="C145" i="10" s="1"/>
  <c r="M7" i="16"/>
  <c r="C7" i="10" s="1"/>
  <c r="M24" i="16"/>
  <c r="C24" i="10" s="1"/>
  <c r="M85" i="16"/>
  <c r="C85" i="10" s="1"/>
  <c r="M141" i="16"/>
  <c r="C141" i="10" s="1"/>
  <c r="M46" i="16"/>
  <c r="C46" i="10" s="1"/>
  <c r="M6" i="16"/>
  <c r="C6" i="10" s="1"/>
  <c r="M66" i="16"/>
  <c r="C66" i="10" s="1"/>
  <c r="M41" i="16"/>
  <c r="C41" i="10" s="1"/>
  <c r="M243" i="16"/>
  <c r="C243" i="10" s="1"/>
  <c r="M234" i="16"/>
  <c r="C234" i="10" s="1"/>
  <c r="M146" i="16"/>
  <c r="C146" i="10" s="1"/>
  <c r="M170" i="16"/>
  <c r="C170" i="10" s="1"/>
  <c r="M58" i="16"/>
  <c r="C58" i="10" s="1"/>
  <c r="M280" i="16"/>
  <c r="C281" i="10" s="1"/>
  <c r="M277" i="16"/>
  <c r="C278" i="10" s="1"/>
  <c r="M266" i="16"/>
  <c r="C267" i="10" s="1"/>
  <c r="M223" i="16"/>
  <c r="C223" i="10" s="1"/>
  <c r="M196" i="16"/>
  <c r="C196" i="10" s="1"/>
  <c r="M264" i="16"/>
  <c r="C265" i="10" s="1"/>
  <c r="M256" i="16"/>
  <c r="C257" i="10" s="1"/>
  <c r="M222" i="16"/>
  <c r="C222" i="10" s="1"/>
  <c r="M152" i="16"/>
  <c r="C152" i="10" s="1"/>
  <c r="M184" i="16"/>
  <c r="C184" i="10" s="1"/>
  <c r="M151" i="16"/>
  <c r="C151" i="10" s="1"/>
  <c r="M273" i="16"/>
  <c r="C274" i="10" s="1"/>
  <c r="M93" i="16"/>
  <c r="C93" i="10" s="1"/>
  <c r="M137" i="16"/>
  <c r="C137" i="10" s="1"/>
  <c r="M162" i="16"/>
  <c r="C162" i="10" s="1"/>
  <c r="M164" i="16"/>
  <c r="C164" i="10" s="1"/>
  <c r="M133" i="16"/>
  <c r="C133" i="10" s="1"/>
  <c r="M14" i="16"/>
  <c r="C14" i="10" s="1"/>
  <c r="M71" i="16"/>
  <c r="C71" i="10" s="1"/>
  <c r="M88" i="16"/>
  <c r="C88" i="10" s="1"/>
  <c r="M113" i="16"/>
  <c r="C113" i="10" s="1"/>
  <c r="M29" i="16"/>
  <c r="C29" i="10" s="1"/>
  <c r="M54" i="16"/>
  <c r="C54" i="10" s="1"/>
  <c r="M33" i="16"/>
  <c r="C33" i="10" s="1"/>
  <c r="M267" i="16"/>
  <c r="C268" i="10" s="1"/>
  <c r="M75" i="16"/>
  <c r="C75" i="10" s="1"/>
  <c r="M275" i="16"/>
  <c r="C276" i="10" s="1"/>
  <c r="M210" i="16"/>
  <c r="C210" i="10" s="1"/>
  <c r="M207" i="16"/>
  <c r="C207" i="10" s="1"/>
  <c r="M216" i="16"/>
  <c r="C216" i="10" s="1"/>
  <c r="M70" i="16"/>
  <c r="C70" i="10" s="1"/>
  <c r="M120" i="16"/>
  <c r="C120" i="10" s="1"/>
  <c r="M73" i="16"/>
  <c r="C73" i="10" s="1"/>
  <c r="M250" i="16"/>
  <c r="C251" i="10" s="1"/>
  <c r="M138" i="16"/>
  <c r="C138" i="10" s="1"/>
  <c r="M90" i="16"/>
  <c r="C90" i="10" s="1"/>
  <c r="M131" i="16"/>
  <c r="C131" i="10" s="1"/>
  <c r="M35" i="16"/>
  <c r="C35" i="10" s="1"/>
  <c r="M150" i="16"/>
  <c r="C150" i="10" s="1"/>
  <c r="M263" i="16"/>
  <c r="C264" i="10" s="1"/>
  <c r="M134" i="16"/>
  <c r="C134" i="10" s="1"/>
  <c r="M212" i="16"/>
  <c r="C212" i="10" s="1"/>
  <c r="M279" i="16"/>
  <c r="C280" i="10" s="1"/>
  <c r="M174" i="16"/>
  <c r="C174" i="10" s="1"/>
  <c r="M253" i="16"/>
  <c r="C254" i="10" s="1"/>
  <c r="M278" i="16"/>
  <c r="C279" i="10" s="1"/>
  <c r="M130" i="16"/>
  <c r="C130" i="10" s="1"/>
  <c r="M265" i="16"/>
  <c r="C266" i="10" s="1"/>
  <c r="M201" i="16"/>
  <c r="C201" i="10" s="1"/>
  <c r="M68" i="16"/>
  <c r="C68" i="10" s="1"/>
  <c r="M132" i="16"/>
  <c r="C132" i="10" s="1"/>
  <c r="M156" i="16"/>
  <c r="C156" i="10" s="1"/>
  <c r="M37" i="16"/>
  <c r="C37" i="10" s="1"/>
  <c r="M129" i="16"/>
  <c r="C129" i="10" s="1"/>
  <c r="M127" i="16"/>
  <c r="C127" i="10" s="1"/>
  <c r="M63" i="16"/>
  <c r="C63" i="10" s="1"/>
  <c r="M80" i="16"/>
  <c r="C80" i="10" s="1"/>
  <c r="M105" i="16"/>
  <c r="C105" i="10" s="1"/>
  <c r="M25" i="16"/>
  <c r="C25" i="10" s="1"/>
  <c r="M52" i="16"/>
  <c r="C52" i="10" s="1"/>
  <c r="M251" i="16"/>
  <c r="C252" i="10" s="1"/>
  <c r="M42" i="16"/>
  <c r="C42" i="10" s="1"/>
  <c r="M82" i="16"/>
  <c r="C82" i="10" s="1"/>
  <c r="M227" i="16"/>
  <c r="C227" i="10" s="1"/>
  <c r="M258" i="16"/>
  <c r="C259" i="10" s="1"/>
  <c r="M271" i="16"/>
  <c r="C272" i="10" s="1"/>
  <c r="M276" i="16"/>
  <c r="C277" i="10" s="1"/>
  <c r="M167" i="16"/>
  <c r="C167" i="10" s="1"/>
  <c r="M270" i="16"/>
  <c r="C271" i="10" s="1"/>
  <c r="M206" i="16"/>
  <c r="C206" i="10" s="1"/>
  <c r="M142" i="16"/>
  <c r="C142" i="10" s="1"/>
  <c r="M208" i="16"/>
  <c r="C208" i="10" s="1"/>
  <c r="M257" i="16"/>
  <c r="C258" i="10" s="1"/>
  <c r="M193" i="16"/>
  <c r="C193" i="10" s="1"/>
  <c r="M61" i="16"/>
  <c r="C61" i="10" s="1"/>
  <c r="M118" i="16"/>
  <c r="C118" i="10" s="1"/>
  <c r="M47" i="16"/>
  <c r="C47" i="10" s="1"/>
  <c r="M128" i="16"/>
  <c r="C128" i="10" s="1"/>
  <c r="M148" i="16"/>
  <c r="C148" i="10" s="1"/>
  <c r="M181" i="16"/>
  <c r="C181" i="10" s="1"/>
  <c r="M116" i="16"/>
  <c r="C116" i="10" s="1"/>
  <c r="M55" i="16"/>
  <c r="C55" i="10" s="1"/>
  <c r="M97" i="16"/>
  <c r="C97" i="10" s="1"/>
  <c r="M22" i="16"/>
  <c r="C22" i="10" s="1"/>
  <c r="M17" i="16"/>
  <c r="C17" i="10" s="1"/>
  <c r="M44" i="16"/>
  <c r="C44" i="10" s="1"/>
  <c r="M139" i="16"/>
  <c r="C139" i="10" s="1"/>
  <c r="M187" i="16"/>
  <c r="C187" i="10" s="1"/>
  <c r="M59" i="16"/>
  <c r="C59" i="10" s="1"/>
  <c r="M123" i="16"/>
  <c r="C123" i="10" s="1"/>
  <c r="M226" i="16"/>
  <c r="C226" i="10" s="1"/>
  <c r="M135" i="16"/>
  <c r="C135" i="10" s="1"/>
  <c r="M241" i="16"/>
  <c r="C241" i="10" s="1"/>
  <c r="M40" i="16"/>
  <c r="C40" i="10" s="1"/>
  <c r="M50" i="16"/>
  <c r="C50" i="10" s="1"/>
  <c r="M121" i="16"/>
  <c r="C121" i="10" s="1"/>
  <c r="M161" i="16"/>
  <c r="C161" i="10" s="1"/>
  <c r="M76" i="16"/>
  <c r="C76" i="10" s="1"/>
  <c r="M62" i="16"/>
  <c r="C62" i="10" s="1"/>
  <c r="M112" i="16"/>
  <c r="C112" i="10" s="1"/>
  <c r="M274" i="16"/>
  <c r="C275" i="10" s="1"/>
  <c r="M202" i="16"/>
  <c r="C202" i="10" s="1"/>
  <c r="M74" i="16"/>
  <c r="C74" i="10" s="1"/>
  <c r="M163" i="16"/>
  <c r="C163" i="10" s="1"/>
  <c r="M99" i="16"/>
  <c r="C99" i="10" s="1"/>
  <c r="M159" i="16"/>
  <c r="C159" i="10" s="1"/>
  <c r="M268" i="16"/>
  <c r="C269" i="10" s="1"/>
  <c r="M272" i="16"/>
  <c r="C273" i="10" s="1"/>
  <c r="M197" i="16"/>
  <c r="C197" i="10" s="1"/>
  <c r="M117" i="16"/>
  <c r="C117" i="10" s="1"/>
  <c r="M232" i="16"/>
  <c r="C232" i="10" s="1"/>
  <c r="M213" i="16"/>
  <c r="C213" i="10" s="1"/>
  <c r="M262" i="16"/>
  <c r="C263" i="10" s="1"/>
  <c r="M198" i="16"/>
  <c r="C198" i="10" s="1"/>
  <c r="M31" i="16"/>
  <c r="C31" i="10" s="1"/>
  <c r="M180" i="16"/>
  <c r="C180" i="10" s="1"/>
  <c r="M249" i="16"/>
  <c r="C250" i="10" s="1"/>
  <c r="M185" i="16"/>
  <c r="C185" i="10" s="1"/>
  <c r="M53" i="16"/>
  <c r="C53" i="10" s="1"/>
  <c r="M102" i="16"/>
  <c r="C102" i="10" s="1"/>
  <c r="M15" i="16"/>
  <c r="C15" i="10" s="1"/>
  <c r="M140" i="16"/>
  <c r="C140" i="10" s="1"/>
  <c r="M173" i="16"/>
  <c r="C173" i="10" s="1"/>
  <c r="M94" i="16"/>
  <c r="C94" i="10" s="1"/>
  <c r="M111" i="16"/>
  <c r="C111" i="10" s="1"/>
  <c r="M39" i="16"/>
  <c r="C39" i="10" s="1"/>
  <c r="M64" i="16"/>
  <c r="C64" i="10" s="1"/>
  <c r="M98" i="16"/>
  <c r="C98" i="10" s="1"/>
  <c r="M5" i="16"/>
  <c r="C5" i="10" s="1"/>
  <c r="M9" i="16"/>
  <c r="C9" i="10" s="1"/>
  <c r="M36" i="16"/>
  <c r="C36" i="10" s="1"/>
  <c r="M235" i="16"/>
  <c r="C235" i="10" s="1"/>
  <c r="M211" i="16"/>
  <c r="C211" i="10" s="1"/>
  <c r="M51" i="16"/>
  <c r="C51" i="10" s="1"/>
  <c r="M115" i="16"/>
  <c r="C115" i="10" s="1"/>
  <c r="M27" i="16"/>
  <c r="C27" i="10" s="1"/>
  <c r="O261" i="10"/>
  <c r="S220" i="14"/>
  <c r="O220" i="10" s="1"/>
  <c r="S247" i="14"/>
  <c r="O247" i="10" s="1"/>
  <c r="S205" i="14"/>
  <c r="O205" i="10" s="1"/>
  <c r="S133" i="14"/>
  <c r="O133" i="10" s="1"/>
  <c r="S168" i="14"/>
  <c r="O168" i="10" s="1"/>
  <c r="S63" i="14"/>
  <c r="O63" i="10" s="1"/>
  <c r="S256" i="14"/>
  <c r="O257" i="10" s="1"/>
  <c r="S195" i="14"/>
  <c r="O195" i="10" s="1"/>
  <c r="S183" i="14"/>
  <c r="O183" i="10" s="1"/>
  <c r="S104" i="14"/>
  <c r="O104" i="10" s="1"/>
  <c r="S93" i="14"/>
  <c r="O93" i="10" s="1"/>
  <c r="S265" i="14"/>
  <c r="O266" i="10" s="1"/>
  <c r="S258" i="14"/>
  <c r="O259" i="10" s="1"/>
  <c r="S264" i="14"/>
  <c r="O265" i="10" s="1"/>
  <c r="S249" i="14"/>
  <c r="O250" i="10" s="1"/>
  <c r="S185" i="14"/>
  <c r="O185" i="10" s="1"/>
  <c r="S228" i="14"/>
  <c r="O228" i="10" s="1"/>
  <c r="S111" i="14"/>
  <c r="O111" i="10" s="1"/>
  <c r="S191" i="14"/>
  <c r="O191" i="10" s="1"/>
  <c r="S234" i="14"/>
  <c r="O234" i="10" s="1"/>
  <c r="S127" i="14"/>
  <c r="O127" i="10" s="1"/>
  <c r="S213" i="14"/>
  <c r="O213" i="10" s="1"/>
  <c r="S248" i="14"/>
  <c r="O248" i="10" s="1"/>
  <c r="S172" i="14"/>
  <c r="O172" i="10" s="1"/>
  <c r="S108" i="14"/>
  <c r="O108" i="10" s="1"/>
  <c r="S84" i="14"/>
  <c r="O84" i="10" s="1"/>
  <c r="S71" i="14"/>
  <c r="O71" i="10" s="1"/>
  <c r="S36" i="14"/>
  <c r="O36" i="10" s="1"/>
  <c r="S23" i="14"/>
  <c r="O23" i="10" s="1"/>
  <c r="S10" i="14"/>
  <c r="O10" i="10" s="1"/>
  <c r="S27" i="14"/>
  <c r="O27" i="10" s="1"/>
  <c r="S226" i="14"/>
  <c r="O226" i="10" s="1"/>
  <c r="S240" i="14"/>
  <c r="O240" i="10" s="1"/>
  <c r="S76" i="14"/>
  <c r="O76" i="10" s="1"/>
  <c r="S28" i="14"/>
  <c r="O28" i="10" s="1"/>
  <c r="S262" i="14"/>
  <c r="O263" i="10" s="1"/>
  <c r="S230" i="14"/>
  <c r="O230" i="10" s="1"/>
  <c r="S238" i="14"/>
  <c r="O238" i="10" s="1"/>
  <c r="S198" i="14"/>
  <c r="O198" i="10" s="1"/>
  <c r="S233" i="14"/>
  <c r="O233" i="10" s="1"/>
  <c r="S212" i="14"/>
  <c r="O212" i="10" s="1"/>
  <c r="S218" i="14"/>
  <c r="O218" i="10" s="1"/>
  <c r="S97" i="14"/>
  <c r="O97" i="10" s="1"/>
  <c r="S232" i="14"/>
  <c r="O232" i="10" s="1"/>
  <c r="S125" i="14"/>
  <c r="O125" i="10" s="1"/>
  <c r="S139" i="14"/>
  <c r="O139" i="10" s="1"/>
  <c r="S174" i="14"/>
  <c r="O174" i="10" s="1"/>
  <c r="S110" i="14"/>
  <c r="O110" i="10" s="1"/>
  <c r="S68" i="14"/>
  <c r="O68" i="10" s="1"/>
  <c r="S41" i="14"/>
  <c r="O41" i="10" s="1"/>
  <c r="S85" i="14"/>
  <c r="O85" i="10" s="1"/>
  <c r="S75" i="14"/>
  <c r="O75" i="10" s="1"/>
  <c r="S40" i="14"/>
  <c r="O40" i="10" s="1"/>
  <c r="S11" i="14"/>
  <c r="O11" i="10" s="1"/>
  <c r="S241" i="14"/>
  <c r="O241" i="10" s="1"/>
  <c r="S246" i="14"/>
  <c r="O246" i="10" s="1"/>
  <c r="S279" i="14"/>
  <c r="O280" i="10" s="1"/>
  <c r="S113" i="14"/>
  <c r="O113" i="10" s="1"/>
  <c r="S177" i="14"/>
  <c r="O177" i="10" s="1"/>
  <c r="S278" i="14"/>
  <c r="O279" i="10" s="1"/>
  <c r="S243" i="14"/>
  <c r="O243" i="10" s="1"/>
  <c r="S151" i="14"/>
  <c r="O151" i="10" s="1"/>
  <c r="S121" i="14"/>
  <c r="O121" i="10" s="1"/>
  <c r="S204" i="14"/>
  <c r="O204" i="10" s="1"/>
  <c r="S231" i="14"/>
  <c r="O231" i="10" s="1"/>
  <c r="S210" i="14"/>
  <c r="O210" i="10" s="1"/>
  <c r="S95" i="14"/>
  <c r="O95" i="10" s="1"/>
  <c r="S224" i="14"/>
  <c r="O224" i="10" s="1"/>
  <c r="S117" i="14"/>
  <c r="O117" i="10" s="1"/>
  <c r="S152" i="14"/>
  <c r="O152" i="10" s="1"/>
  <c r="S33" i="14"/>
  <c r="O33" i="10" s="1"/>
  <c r="S131" i="14"/>
  <c r="O131" i="10" s="1"/>
  <c r="S102" i="14"/>
  <c r="O102" i="10" s="1"/>
  <c r="S148" i="14"/>
  <c r="O148" i="10" s="1"/>
  <c r="S67" i="14"/>
  <c r="O67" i="10" s="1"/>
  <c r="S22" i="14"/>
  <c r="O22" i="10" s="1"/>
  <c r="S37" i="14"/>
  <c r="O37" i="10" s="1"/>
  <c r="S182" i="14"/>
  <c r="O182" i="10" s="1"/>
  <c r="S270" i="14"/>
  <c r="O271" i="10" s="1"/>
  <c r="S146" i="14"/>
  <c r="O146" i="10" s="1"/>
  <c r="O256" i="10"/>
  <c r="S62" i="14"/>
  <c r="O62" i="10" s="1"/>
  <c r="S4" i="14"/>
  <c r="O4" i="10" s="1"/>
  <c r="S235" i="14"/>
  <c r="O235" i="10" s="1"/>
  <c r="S103" i="14"/>
  <c r="O103" i="10" s="1"/>
  <c r="S223" i="14"/>
  <c r="O223" i="10" s="1"/>
  <c r="S109" i="14"/>
  <c r="O109" i="10" s="1"/>
  <c r="S144" i="14"/>
  <c r="O144" i="10" s="1"/>
  <c r="S123" i="14"/>
  <c r="O123" i="10" s="1"/>
  <c r="S98" i="14"/>
  <c r="O98" i="10" s="1"/>
  <c r="S73" i="14"/>
  <c r="O73" i="10" s="1"/>
  <c r="S51" i="14"/>
  <c r="O51" i="10" s="1"/>
  <c r="S82" i="14"/>
  <c r="O82" i="10" s="1"/>
  <c r="S59" i="14"/>
  <c r="O59" i="10" s="1"/>
  <c r="S55" i="14"/>
  <c r="O55" i="10" s="1"/>
  <c r="S29" i="14"/>
  <c r="O29" i="10" s="1"/>
  <c r="S250" i="14"/>
  <c r="O251" i="10" s="1"/>
  <c r="O283" i="10"/>
  <c r="S263" i="14"/>
  <c r="O264" i="10" s="1"/>
  <c r="S275" i="14"/>
  <c r="O276" i="10" s="1"/>
  <c r="S227" i="14"/>
  <c r="O227" i="10" s="1"/>
  <c r="S105" i="14"/>
  <c r="O105" i="10" s="1"/>
  <c r="O209" i="10"/>
  <c r="S153" i="14"/>
  <c r="O153" i="10" s="1"/>
  <c r="S101" i="14"/>
  <c r="O101" i="10" s="1"/>
  <c r="S115" i="14"/>
  <c r="O115" i="10" s="1"/>
  <c r="S65" i="14"/>
  <c r="O65" i="10" s="1"/>
  <c r="S17" i="14"/>
  <c r="O17" i="10" s="1"/>
  <c r="S61" i="14"/>
  <c r="O61" i="10" s="1"/>
  <c r="S34" i="14"/>
  <c r="O34" i="10" s="1"/>
  <c r="S21" i="14"/>
  <c r="O21" i="10" s="1"/>
  <c r="S16" i="14"/>
  <c r="O16" i="10" s="1"/>
  <c r="S53" i="14"/>
  <c r="O53" i="10" s="1"/>
  <c r="S159" i="14"/>
  <c r="O159" i="10" s="1"/>
  <c r="S257" i="14"/>
  <c r="O258" i="10" s="1"/>
  <c r="S274" i="14"/>
  <c r="O275" i="10" s="1"/>
  <c r="S277" i="14"/>
  <c r="O278" i="10" s="1"/>
  <c r="S280" i="14"/>
  <c r="O281" i="10" s="1"/>
  <c r="S267" i="14"/>
  <c r="O268" i="10" s="1"/>
  <c r="S201" i="14"/>
  <c r="O201" i="10" s="1"/>
  <c r="S207" i="14"/>
  <c r="O207" i="10" s="1"/>
  <c r="S178" i="14"/>
  <c r="O178" i="10" s="1"/>
  <c r="S229" i="14"/>
  <c r="O229" i="10" s="1"/>
  <c r="S157" i="14"/>
  <c r="O157" i="10" s="1"/>
  <c r="S64" i="14"/>
  <c r="O64" i="10" s="1"/>
  <c r="S128" i="14"/>
  <c r="O128" i="10" s="1"/>
  <c r="S171" i="14"/>
  <c r="O171" i="10" s="1"/>
  <c r="S107" i="14"/>
  <c r="O107" i="10" s="1"/>
  <c r="S188" i="14"/>
  <c r="O188" i="10" s="1"/>
  <c r="S124" i="14"/>
  <c r="O124" i="10" s="1"/>
  <c r="S49" i="14"/>
  <c r="O49" i="10" s="1"/>
  <c r="S87" i="14"/>
  <c r="O87" i="10" s="1"/>
  <c r="S25" i="14"/>
  <c r="O25" i="10" s="1"/>
  <c r="S9" i="14"/>
  <c r="O9" i="10" s="1"/>
  <c r="S52" i="14"/>
  <c r="O52" i="10" s="1"/>
  <c r="S26" i="14"/>
  <c r="O26" i="10" s="1"/>
  <c r="S8" i="14"/>
  <c r="O8" i="10" s="1"/>
  <c r="S266" i="14"/>
  <c r="O267" i="10" s="1"/>
  <c r="S269" i="14"/>
  <c r="O270" i="10" s="1"/>
  <c r="S272" i="14"/>
  <c r="O273" i="10" s="1"/>
  <c r="S259" i="14"/>
  <c r="O260" i="10" s="1"/>
  <c r="S236" i="14"/>
  <c r="O236" i="10" s="1"/>
  <c r="O242" i="10"/>
  <c r="S145" i="14"/>
  <c r="O145" i="10" s="1"/>
  <c r="S221" i="14"/>
  <c r="O221" i="10" s="1"/>
  <c r="S122" i="14"/>
  <c r="O122" i="10" s="1"/>
  <c r="S192" i="14"/>
  <c r="O192" i="10" s="1"/>
  <c r="S163" i="14"/>
  <c r="O163" i="10" s="1"/>
  <c r="S134" i="14"/>
  <c r="O134" i="10" s="1"/>
  <c r="S180" i="14"/>
  <c r="O180" i="10" s="1"/>
  <c r="S116" i="14"/>
  <c r="O116" i="10" s="1"/>
  <c r="S58" i="14"/>
  <c r="O58" i="10" s="1"/>
  <c r="S99" i="14"/>
  <c r="O99" i="10" s="1"/>
  <c r="S54" i="14"/>
  <c r="O54" i="10" s="1"/>
  <c r="S44" i="14"/>
  <c r="O44" i="10" s="1"/>
  <c r="S31" i="14"/>
  <c r="O31" i="10" s="1"/>
  <c r="S18" i="14"/>
  <c r="O18" i="10" s="1"/>
  <c r="S35" i="14"/>
  <c r="O35" i="10" s="1"/>
  <c r="J12" i="8"/>
  <c r="C16" i="8"/>
  <c r="X10" i="8"/>
  <c r="R24" i="10"/>
  <c r="R17" i="8"/>
  <c r="J17" i="8"/>
  <c r="R18" i="8"/>
  <c r="J18" i="8"/>
  <c r="R12" i="8"/>
  <c r="U16" i="8"/>
  <c r="M16" i="8"/>
  <c r="X7" i="8"/>
  <c r="T16" i="8"/>
  <c r="L16" i="8"/>
  <c r="S16" i="8"/>
  <c r="K16" i="8"/>
  <c r="Q16" i="8"/>
  <c r="I16" i="8"/>
  <c r="F16" i="8"/>
  <c r="P16" i="8"/>
  <c r="E16" i="8"/>
  <c r="O16" i="8"/>
  <c r="D16" i="8"/>
  <c r="N16" i="8"/>
  <c r="H16" i="8"/>
  <c r="Q244" i="10" l="1"/>
  <c r="Q83" i="10"/>
  <c r="Q89" i="10"/>
  <c r="Q237" i="10"/>
  <c r="Q34" i="10"/>
  <c r="Q166" i="10"/>
  <c r="Q60" i="10"/>
  <c r="Q262" i="10"/>
  <c r="P106" i="18"/>
  <c r="D106" i="10" s="1"/>
  <c r="P209" i="18"/>
  <c r="D209" i="10" s="1"/>
  <c r="P214" i="18"/>
  <c r="D214" i="10" s="1"/>
  <c r="P261" i="18"/>
  <c r="D262" i="10" s="1"/>
  <c r="P179" i="18"/>
  <c r="D179" i="10" s="1"/>
  <c r="P255" i="18"/>
  <c r="D256" i="10" s="1"/>
  <c r="P166" i="18"/>
  <c r="D166" i="10" s="1"/>
  <c r="R21" i="8"/>
  <c r="T90" i="1" s="1"/>
  <c r="C17" i="8"/>
  <c r="C18" i="8"/>
  <c r="I17" i="8"/>
  <c r="I18" i="8"/>
  <c r="H18" i="8"/>
  <c r="H17" i="8"/>
  <c r="E17" i="8"/>
  <c r="E18" i="8"/>
  <c r="F17" i="8"/>
  <c r="F18" i="8"/>
  <c r="D17" i="8"/>
  <c r="D18" i="8"/>
  <c r="X12" i="8"/>
  <c r="X16" i="8"/>
  <c r="T5" i="1"/>
  <c r="T21" i="1"/>
  <c r="T29" i="1"/>
  <c r="T37" i="1"/>
  <c r="T85" i="1"/>
  <c r="T58" i="1"/>
  <c r="T140" i="1"/>
  <c r="T67" i="1"/>
  <c r="T123" i="1"/>
  <c r="T131" i="1"/>
  <c r="T110" i="1"/>
  <c r="T167" i="1"/>
  <c r="T30" i="1"/>
  <c r="T73" i="1"/>
  <c r="T148" i="1"/>
  <c r="T164" i="1"/>
  <c r="T268" i="1"/>
  <c r="T276" i="1"/>
  <c r="T281" i="1"/>
  <c r="T57" i="1"/>
  <c r="T78" i="1"/>
  <c r="T144" i="1"/>
  <c r="T152" i="1"/>
  <c r="T160" i="1"/>
  <c r="T168" i="1"/>
  <c r="T54" i="1"/>
  <c r="T88" i="1"/>
  <c r="T221" i="1"/>
  <c r="T230" i="1"/>
  <c r="T113" i="1"/>
  <c r="T171" i="1"/>
  <c r="T278" i="1"/>
  <c r="T198" i="1"/>
  <c r="T253" i="1"/>
  <c r="J21" i="8"/>
  <c r="P17" i="8"/>
  <c r="P18" i="8"/>
  <c r="T17" i="8"/>
  <c r="T18" i="8"/>
  <c r="M17" i="8"/>
  <c r="M18" i="8"/>
  <c r="U17" i="8"/>
  <c r="U18" i="8"/>
  <c r="Q17" i="8"/>
  <c r="Q18" i="8"/>
  <c r="N17" i="8"/>
  <c r="N18" i="8"/>
  <c r="K17" i="8"/>
  <c r="K18" i="8"/>
  <c r="S17" i="8"/>
  <c r="S18" i="8"/>
  <c r="O17" i="8"/>
  <c r="O18" i="8"/>
  <c r="L17" i="8"/>
  <c r="L18" i="8"/>
  <c r="T36" i="1" l="1"/>
  <c r="T20" i="1"/>
  <c r="T219" i="1"/>
  <c r="T267" i="1"/>
  <c r="T273" i="1"/>
  <c r="T81" i="1"/>
  <c r="T135" i="1"/>
  <c r="T163" i="1"/>
  <c r="T275" i="1"/>
  <c r="T65" i="1"/>
  <c r="T282" i="1"/>
  <c r="T111" i="1"/>
  <c r="T70" i="1"/>
  <c r="T127" i="1"/>
  <c r="T134" i="1"/>
  <c r="T211" i="1"/>
  <c r="T56" i="1"/>
  <c r="T258" i="1"/>
  <c r="T63" i="1"/>
  <c r="T257" i="1"/>
  <c r="T17" i="1"/>
  <c r="T149" i="1"/>
  <c r="T248" i="1"/>
  <c r="T22" i="1"/>
  <c r="T250" i="1"/>
  <c r="T15" i="1"/>
  <c r="T232" i="1"/>
  <c r="T271" i="1"/>
  <c r="T98" i="1"/>
  <c r="T213" i="1"/>
  <c r="T225" i="1"/>
  <c r="T279" i="1"/>
  <c r="T115" i="1"/>
  <c r="T106" i="1"/>
  <c r="T141" i="1"/>
  <c r="T224" i="1"/>
  <c r="T217" i="1"/>
  <c r="T107" i="1"/>
  <c r="T251" i="1"/>
  <c r="T216" i="1"/>
  <c r="T86" i="1"/>
  <c r="T263" i="1"/>
  <c r="T91" i="1"/>
  <c r="L191" i="1"/>
  <c r="L189" i="1"/>
  <c r="L193" i="1"/>
  <c r="L192" i="1"/>
  <c r="L182" i="1"/>
  <c r="L185" i="1"/>
  <c r="L188" i="1"/>
  <c r="L186" i="1"/>
  <c r="L180" i="1"/>
  <c r="L183" i="1"/>
  <c r="L179" i="1"/>
  <c r="L190" i="1"/>
  <c r="L184" i="1"/>
  <c r="L187" i="1"/>
  <c r="L181" i="1"/>
  <c r="L194" i="1"/>
  <c r="T45" i="1"/>
  <c r="T179" i="1"/>
  <c r="T192" i="1"/>
  <c r="T189" i="1"/>
  <c r="T193" i="1"/>
  <c r="T187" i="1"/>
  <c r="T181" i="1"/>
  <c r="T194" i="1"/>
  <c r="T183" i="1"/>
  <c r="T184" i="1"/>
  <c r="T186" i="1"/>
  <c r="T180" i="1"/>
  <c r="T190" i="1"/>
  <c r="T191" i="1"/>
  <c r="T182" i="1"/>
  <c r="T185" i="1"/>
  <c r="T188" i="1"/>
  <c r="T92" i="1"/>
  <c r="T74" i="1"/>
  <c r="T254" i="1"/>
  <c r="T14" i="1"/>
  <c r="T260" i="1"/>
  <c r="T266" i="1"/>
  <c r="T76" i="1"/>
  <c r="T66" i="1"/>
  <c r="T212" i="1"/>
  <c r="T215" i="1"/>
  <c r="T226" i="1"/>
  <c r="T42" i="1"/>
  <c r="T269" i="1"/>
  <c r="T238" i="1"/>
  <c r="T126" i="1"/>
  <c r="T209" i="1"/>
  <c r="T204" i="1"/>
  <c r="T207" i="1"/>
  <c r="T132" i="1"/>
  <c r="T55" i="1"/>
  <c r="T133" i="1"/>
  <c r="T235" i="1"/>
  <c r="T229" i="1"/>
  <c r="T118" i="1"/>
  <c r="T105" i="1"/>
  <c r="T196" i="1"/>
  <c r="T199" i="1"/>
  <c r="T170" i="1"/>
  <c r="T124" i="1"/>
  <c r="T47" i="1"/>
  <c r="T117" i="1"/>
  <c r="T214" i="1"/>
  <c r="T174" i="1"/>
  <c r="T264" i="1"/>
  <c r="T62" i="1"/>
  <c r="T154" i="1"/>
  <c r="T108" i="1"/>
  <c r="T39" i="1"/>
  <c r="T101" i="1"/>
  <c r="T262" i="1"/>
  <c r="T205" i="1"/>
  <c r="T165" i="1"/>
  <c r="T256" i="1"/>
  <c r="T112" i="1"/>
  <c r="T177" i="1"/>
  <c r="T172" i="1"/>
  <c r="T146" i="1"/>
  <c r="T100" i="1"/>
  <c r="T31" i="1"/>
  <c r="T93" i="1"/>
  <c r="T64" i="1"/>
  <c r="T175" i="1"/>
  <c r="T75" i="1"/>
  <c r="T28" i="1"/>
  <c r="T23" i="1"/>
  <c r="T125" i="1"/>
  <c r="T270" i="1"/>
  <c r="T24" i="1"/>
  <c r="T237" i="1"/>
  <c r="T240" i="1"/>
  <c r="T158" i="1"/>
  <c r="T201" i="1"/>
  <c r="T244" i="1"/>
  <c r="T9" i="1"/>
  <c r="T151" i="1"/>
  <c r="T162" i="1"/>
  <c r="T51" i="1"/>
  <c r="T12" i="1"/>
  <c r="T138" i="1"/>
  <c r="T109" i="1"/>
  <c r="T147" i="1"/>
  <c r="T245" i="1"/>
  <c r="T200" i="1"/>
  <c r="T48" i="1"/>
  <c r="T161" i="1"/>
  <c r="T247" i="1"/>
  <c r="T274" i="1"/>
  <c r="T80" i="1"/>
  <c r="T116" i="1"/>
  <c r="T95" i="1"/>
  <c r="T82" i="1"/>
  <c r="T69" i="1"/>
  <c r="E21" i="8"/>
  <c r="T49" i="1"/>
  <c r="T155" i="1"/>
  <c r="T246" i="1"/>
  <c r="T157" i="1"/>
  <c r="T208" i="1"/>
  <c r="T32" i="1"/>
  <c r="T265" i="1"/>
  <c r="T169" i="1"/>
  <c r="T252" i="1"/>
  <c r="T156" i="1"/>
  <c r="T255" i="1"/>
  <c r="T159" i="1"/>
  <c r="T234" i="1"/>
  <c r="T89" i="1"/>
  <c r="T59" i="1"/>
  <c r="T84" i="1"/>
  <c r="T103" i="1"/>
  <c r="T7" i="1"/>
  <c r="T50" i="1"/>
  <c r="T77" i="1"/>
  <c r="D21" i="8"/>
  <c r="T227" i="1"/>
  <c r="T277" i="1"/>
  <c r="T40" i="1"/>
  <c r="T33" i="1"/>
  <c r="T150" i="1"/>
  <c r="T249" i="1"/>
  <c r="T145" i="1"/>
  <c r="T236" i="1"/>
  <c r="T137" i="1"/>
  <c r="T239" i="1"/>
  <c r="T143" i="1"/>
  <c r="T218" i="1"/>
  <c r="T46" i="1"/>
  <c r="T43" i="1"/>
  <c r="T68" i="1"/>
  <c r="T87" i="1"/>
  <c r="T130" i="1"/>
  <c r="T26" i="1"/>
  <c r="T61" i="1"/>
  <c r="T206" i="1"/>
  <c r="T243" i="1"/>
  <c r="T6" i="1"/>
  <c r="T173" i="1"/>
  <c r="T280" i="1"/>
  <c r="T142" i="1"/>
  <c r="T241" i="1"/>
  <c r="T129" i="1"/>
  <c r="T228" i="1"/>
  <c r="T128" i="1"/>
  <c r="T231" i="1"/>
  <c r="T136" i="1"/>
  <c r="T210" i="1"/>
  <c r="T25" i="1"/>
  <c r="T35" i="1"/>
  <c r="T52" i="1"/>
  <c r="T79" i="1"/>
  <c r="T122" i="1"/>
  <c r="T18" i="1"/>
  <c r="T53" i="1"/>
  <c r="T4" i="1"/>
  <c r="T197" i="1"/>
  <c r="T222" i="1"/>
  <c r="T259" i="1"/>
  <c r="T104" i="1"/>
  <c r="T272" i="1"/>
  <c r="T176" i="1"/>
  <c r="T121" i="1"/>
  <c r="T233" i="1"/>
  <c r="T120" i="1"/>
  <c r="T220" i="1"/>
  <c r="T94" i="1"/>
  <c r="T223" i="1"/>
  <c r="T102" i="1"/>
  <c r="T202" i="1"/>
  <c r="T139" i="1"/>
  <c r="T27" i="1"/>
  <c r="T44" i="1"/>
  <c r="T71" i="1"/>
  <c r="T114" i="1"/>
  <c r="T10" i="1"/>
  <c r="T11" i="1"/>
  <c r="T261" i="1"/>
  <c r="T72" i="1"/>
  <c r="T83" i="1"/>
  <c r="T203" i="1"/>
  <c r="T96" i="1"/>
  <c r="T38" i="1"/>
  <c r="T99" i="1"/>
  <c r="T119" i="1"/>
  <c r="T166" i="1"/>
  <c r="T242" i="1"/>
  <c r="T60" i="1"/>
  <c r="T13" i="1"/>
  <c r="L11" i="1"/>
  <c r="L261" i="1"/>
  <c r="L72" i="1"/>
  <c r="L83" i="1"/>
  <c r="L96" i="1"/>
  <c r="L203" i="1"/>
  <c r="L99" i="1"/>
  <c r="L38" i="1"/>
  <c r="L119" i="1"/>
  <c r="L166" i="1"/>
  <c r="L242" i="1"/>
  <c r="L60" i="1"/>
  <c r="L13" i="1"/>
  <c r="I21" i="8"/>
  <c r="C21" i="8"/>
  <c r="H21" i="8"/>
  <c r="N21" i="8"/>
  <c r="P170" i="1" s="1"/>
  <c r="F21" i="8"/>
  <c r="M21" i="8"/>
  <c r="P21" i="8"/>
  <c r="U21" i="8"/>
  <c r="P67" i="1"/>
  <c r="P68" i="1"/>
  <c r="L21" i="8"/>
  <c r="K21" i="8"/>
  <c r="L24" i="1"/>
  <c r="L32" i="1"/>
  <c r="L40" i="1"/>
  <c r="L48" i="1"/>
  <c r="L27" i="1"/>
  <c r="L35" i="1"/>
  <c r="L43" i="1"/>
  <c r="L51" i="1"/>
  <c r="L54" i="1"/>
  <c r="L55" i="1"/>
  <c r="L56" i="1"/>
  <c r="L57" i="1"/>
  <c r="L58" i="1"/>
  <c r="L59" i="1"/>
  <c r="L61" i="1"/>
  <c r="L62" i="1"/>
  <c r="L63" i="1"/>
  <c r="L64" i="1"/>
  <c r="L65" i="1"/>
  <c r="L66" i="1"/>
  <c r="L67" i="1"/>
  <c r="L68" i="1"/>
  <c r="L69" i="1"/>
  <c r="L70" i="1"/>
  <c r="L71" i="1"/>
  <c r="L73" i="1"/>
  <c r="L74" i="1"/>
  <c r="L75" i="1"/>
  <c r="L76" i="1"/>
  <c r="L77" i="1"/>
  <c r="L78" i="1"/>
  <c r="L79" i="1"/>
  <c r="L80" i="1"/>
  <c r="L6" i="1"/>
  <c r="L14" i="1"/>
  <c r="L22" i="1"/>
  <c r="L30" i="1"/>
  <c r="L46" i="1"/>
  <c r="L9" i="1"/>
  <c r="L17" i="1"/>
  <c r="L25" i="1"/>
  <c r="L33" i="1"/>
  <c r="L49" i="1"/>
  <c r="L53" i="1"/>
  <c r="L12" i="1"/>
  <c r="L20" i="1"/>
  <c r="L28" i="1"/>
  <c r="L36" i="1"/>
  <c r="L44" i="1"/>
  <c r="L7" i="1"/>
  <c r="L15" i="1"/>
  <c r="L23" i="1"/>
  <c r="L31" i="1"/>
  <c r="L39" i="1"/>
  <c r="L47" i="1"/>
  <c r="L10" i="1"/>
  <c r="L18" i="1"/>
  <c r="L26" i="1"/>
  <c r="L42" i="1"/>
  <c r="L50" i="1"/>
  <c r="L52" i="1"/>
  <c r="L5" i="1"/>
  <c r="L21" i="1"/>
  <c r="L29" i="1"/>
  <c r="L37" i="1"/>
  <c r="L45" i="1"/>
  <c r="L81" i="1"/>
  <c r="L84" i="1"/>
  <c r="L85" i="1"/>
  <c r="L86" i="1"/>
  <c r="L87" i="1"/>
  <c r="L88" i="1"/>
  <c r="L89" i="1"/>
  <c r="L90" i="1"/>
  <c r="L91" i="1"/>
  <c r="L92" i="1"/>
  <c r="L93" i="1"/>
  <c r="L94" i="1"/>
  <c r="L95" i="1"/>
  <c r="L98" i="1"/>
  <c r="L100" i="1"/>
  <c r="L101" i="1"/>
  <c r="L102" i="1"/>
  <c r="L103" i="1"/>
  <c r="L104" i="1"/>
  <c r="L105" i="1"/>
  <c r="L106" i="1"/>
  <c r="L107" i="1"/>
  <c r="L108" i="1"/>
  <c r="L109" i="1"/>
  <c r="L110" i="1"/>
  <c r="L111" i="1"/>
  <c r="L112" i="1"/>
  <c r="L113" i="1"/>
  <c r="L114" i="1"/>
  <c r="L115" i="1"/>
  <c r="L116" i="1"/>
  <c r="L117" i="1"/>
  <c r="L118"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4" i="1"/>
  <c r="L155" i="1"/>
  <c r="L156" i="1"/>
  <c r="L157" i="1"/>
  <c r="L158" i="1"/>
  <c r="L159" i="1"/>
  <c r="L160" i="1"/>
  <c r="L161" i="1"/>
  <c r="L162" i="1"/>
  <c r="L163" i="1"/>
  <c r="L164" i="1"/>
  <c r="L165" i="1"/>
  <c r="L167" i="1"/>
  <c r="L82" i="1"/>
  <c r="L168" i="1"/>
  <c r="L169" i="1"/>
  <c r="L170" i="1"/>
  <c r="L171" i="1"/>
  <c r="L172" i="1"/>
  <c r="L173" i="1"/>
  <c r="L174" i="1"/>
  <c r="L175" i="1"/>
  <c r="L176" i="1"/>
  <c r="L177" i="1"/>
  <c r="L196" i="1"/>
  <c r="L197" i="1"/>
  <c r="L198" i="1"/>
  <c r="L199" i="1"/>
  <c r="L200" i="1"/>
  <c r="L201" i="1"/>
  <c r="L202"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3" i="1"/>
  <c r="L244" i="1"/>
  <c r="L245" i="1"/>
  <c r="L246" i="1"/>
  <c r="L247" i="1"/>
  <c r="L248" i="1"/>
  <c r="L249" i="1"/>
  <c r="L250" i="1"/>
  <c r="L251" i="1"/>
  <c r="L252" i="1"/>
  <c r="L253" i="1"/>
  <c r="L254" i="1"/>
  <c r="L255" i="1"/>
  <c r="L256" i="1"/>
  <c r="L257" i="1"/>
  <c r="L258" i="1"/>
  <c r="L259" i="1"/>
  <c r="L260" i="1"/>
  <c r="L262" i="1"/>
  <c r="L263" i="1"/>
  <c r="L264" i="1"/>
  <c r="L265" i="1"/>
  <c r="L266" i="1"/>
  <c r="L267" i="1"/>
  <c r="L268" i="1"/>
  <c r="L269" i="1"/>
  <c r="L270" i="1"/>
  <c r="L271" i="1"/>
  <c r="L272" i="1"/>
  <c r="L273" i="1"/>
  <c r="L274" i="1"/>
  <c r="L275" i="1"/>
  <c r="L276" i="1"/>
  <c r="L277" i="1"/>
  <c r="L278" i="1"/>
  <c r="L279" i="1"/>
  <c r="L280" i="1"/>
  <c r="L281" i="1"/>
  <c r="L282" i="1"/>
  <c r="L4" i="1"/>
  <c r="O21" i="8"/>
  <c r="T21" i="8"/>
  <c r="S21" i="8"/>
  <c r="Q21" i="8"/>
  <c r="X17" i="8"/>
  <c r="X18" i="8"/>
  <c r="E22" i="11"/>
  <c r="P76" i="1" l="1"/>
  <c r="P169" i="1"/>
  <c r="P177" i="1"/>
  <c r="P279" i="1"/>
  <c r="P221" i="1"/>
  <c r="N184" i="1"/>
  <c r="N187" i="1"/>
  <c r="N181" i="1"/>
  <c r="N194" i="1"/>
  <c r="N182" i="1"/>
  <c r="N185" i="1"/>
  <c r="N188" i="1"/>
  <c r="N191" i="1"/>
  <c r="N192" i="1"/>
  <c r="N189" i="1"/>
  <c r="N186" i="1"/>
  <c r="N179" i="1"/>
  <c r="N180" i="1"/>
  <c r="N183" i="1"/>
  <c r="N193" i="1"/>
  <c r="N190" i="1"/>
  <c r="P6" i="1"/>
  <c r="P193" i="1"/>
  <c r="P190" i="1"/>
  <c r="P181" i="1"/>
  <c r="P191" i="1"/>
  <c r="P185" i="1"/>
  <c r="P194" i="1"/>
  <c r="P182" i="1"/>
  <c r="P184" i="1"/>
  <c r="P187" i="1"/>
  <c r="P188" i="1"/>
  <c r="P192" i="1"/>
  <c r="P179" i="1"/>
  <c r="P189" i="1"/>
  <c r="P186" i="1"/>
  <c r="P180" i="1"/>
  <c r="P183" i="1"/>
  <c r="J182" i="1"/>
  <c r="J185" i="1"/>
  <c r="J188" i="1"/>
  <c r="J189" i="1"/>
  <c r="J183" i="1"/>
  <c r="J187" i="1"/>
  <c r="J179" i="1"/>
  <c r="J192" i="1"/>
  <c r="J186" i="1"/>
  <c r="J180" i="1"/>
  <c r="J193" i="1"/>
  <c r="J184" i="1"/>
  <c r="J181" i="1"/>
  <c r="J194" i="1"/>
  <c r="J190" i="1"/>
  <c r="J191" i="1"/>
  <c r="S189" i="1"/>
  <c r="S186" i="1"/>
  <c r="S193" i="1"/>
  <c r="S190" i="1"/>
  <c r="S184" i="1"/>
  <c r="S187" i="1"/>
  <c r="S181" i="1"/>
  <c r="S194" i="1"/>
  <c r="S180" i="1"/>
  <c r="S183" i="1"/>
  <c r="S191" i="1"/>
  <c r="S182" i="1"/>
  <c r="S185" i="1"/>
  <c r="S188" i="1"/>
  <c r="S179" i="1"/>
  <c r="S192" i="1"/>
  <c r="U192" i="1"/>
  <c r="U180" i="1"/>
  <c r="U181" i="1"/>
  <c r="U179" i="1"/>
  <c r="U186" i="1"/>
  <c r="U190" i="1"/>
  <c r="U187" i="1"/>
  <c r="U189" i="1"/>
  <c r="U183" i="1"/>
  <c r="U193" i="1"/>
  <c r="U194" i="1"/>
  <c r="U191" i="1"/>
  <c r="U182" i="1"/>
  <c r="U185" i="1"/>
  <c r="U188" i="1"/>
  <c r="U184" i="1"/>
  <c r="V182" i="1"/>
  <c r="V185" i="1"/>
  <c r="V188" i="1"/>
  <c r="V193" i="1"/>
  <c r="V189" i="1"/>
  <c r="V186" i="1"/>
  <c r="V180" i="1"/>
  <c r="V179" i="1"/>
  <c r="V192" i="1"/>
  <c r="V183" i="1"/>
  <c r="V190" i="1"/>
  <c r="V187" i="1"/>
  <c r="V181" i="1"/>
  <c r="V194" i="1"/>
  <c r="V184" i="1"/>
  <c r="V191" i="1"/>
  <c r="Q180" i="1"/>
  <c r="Q183" i="1"/>
  <c r="Q193" i="1"/>
  <c r="Q181" i="1"/>
  <c r="Q191" i="1"/>
  <c r="Q182" i="1"/>
  <c r="Q185" i="1"/>
  <c r="Q187" i="1"/>
  <c r="Q194" i="1"/>
  <c r="Q190" i="1"/>
  <c r="Q184" i="1"/>
  <c r="Q188" i="1"/>
  <c r="Q179" i="1"/>
  <c r="Q192" i="1"/>
  <c r="Q189" i="1"/>
  <c r="Q186" i="1"/>
  <c r="W191" i="1"/>
  <c r="W182" i="1"/>
  <c r="W185" i="1"/>
  <c r="W188" i="1"/>
  <c r="W179" i="1"/>
  <c r="W186" i="1"/>
  <c r="W180" i="1"/>
  <c r="W183" i="1"/>
  <c r="W192" i="1"/>
  <c r="W189" i="1"/>
  <c r="W190" i="1"/>
  <c r="W193" i="1"/>
  <c r="W184" i="1"/>
  <c r="W187" i="1"/>
  <c r="W181" i="1"/>
  <c r="W194" i="1"/>
  <c r="K191" i="1"/>
  <c r="K182" i="1"/>
  <c r="K185" i="1"/>
  <c r="K188" i="1"/>
  <c r="K190" i="1"/>
  <c r="K192" i="1"/>
  <c r="K189" i="1"/>
  <c r="K186" i="1"/>
  <c r="K180" i="1"/>
  <c r="K183" i="1"/>
  <c r="K179" i="1"/>
  <c r="K184" i="1"/>
  <c r="K187" i="1"/>
  <c r="K181" i="1"/>
  <c r="K194" i="1"/>
  <c r="K193" i="1"/>
  <c r="R10" i="1"/>
  <c r="R186" i="1"/>
  <c r="R180" i="1"/>
  <c r="R183" i="1"/>
  <c r="R190" i="1"/>
  <c r="R181" i="1"/>
  <c r="R191" i="1"/>
  <c r="R185" i="1"/>
  <c r="R184" i="1"/>
  <c r="R194" i="1"/>
  <c r="R193" i="1"/>
  <c r="R187" i="1"/>
  <c r="R179" i="1"/>
  <c r="R192" i="1"/>
  <c r="R182" i="1"/>
  <c r="R189" i="1"/>
  <c r="R188" i="1"/>
  <c r="M181" i="1"/>
  <c r="M194" i="1"/>
  <c r="M182" i="1"/>
  <c r="M189" i="1"/>
  <c r="M188" i="1"/>
  <c r="M183" i="1"/>
  <c r="M191" i="1"/>
  <c r="M185" i="1"/>
  <c r="M192" i="1"/>
  <c r="M186" i="1"/>
  <c r="M179" i="1"/>
  <c r="M180" i="1"/>
  <c r="M193" i="1"/>
  <c r="M190" i="1"/>
  <c r="M184" i="1"/>
  <c r="M187" i="1"/>
  <c r="O135" i="1"/>
  <c r="O190" i="1"/>
  <c r="O184" i="1"/>
  <c r="O187" i="1"/>
  <c r="O182" i="1"/>
  <c r="O185" i="1"/>
  <c r="O192" i="1"/>
  <c r="O181" i="1"/>
  <c r="O194" i="1"/>
  <c r="O191" i="1"/>
  <c r="O188" i="1"/>
  <c r="O179" i="1"/>
  <c r="O186" i="1"/>
  <c r="O180" i="1"/>
  <c r="O183" i="1"/>
  <c r="O189" i="1"/>
  <c r="O193" i="1"/>
  <c r="P137" i="1"/>
  <c r="P271" i="1"/>
  <c r="P136" i="1"/>
  <c r="P270" i="1"/>
  <c r="P128" i="1"/>
  <c r="P237" i="1"/>
  <c r="P121" i="1"/>
  <c r="O249" i="1"/>
  <c r="P236" i="1"/>
  <c r="P84" i="1"/>
  <c r="P278" i="1"/>
  <c r="P228" i="1"/>
  <c r="P77" i="1"/>
  <c r="R199" i="1"/>
  <c r="P229" i="1"/>
  <c r="P129" i="1"/>
  <c r="P220" i="1"/>
  <c r="P120" i="1"/>
  <c r="P85" i="1"/>
  <c r="O128" i="1"/>
  <c r="P263" i="1"/>
  <c r="P213" i="1"/>
  <c r="P162" i="1"/>
  <c r="P112" i="1"/>
  <c r="P58" i="1"/>
  <c r="P262" i="1"/>
  <c r="P212" i="1"/>
  <c r="P161" i="1"/>
  <c r="P111" i="1"/>
  <c r="P49" i="1"/>
  <c r="P154" i="1"/>
  <c r="P253" i="1"/>
  <c r="P204" i="1"/>
  <c r="P152" i="1"/>
  <c r="P103" i="1"/>
  <c r="P30" i="1"/>
  <c r="P254" i="1"/>
  <c r="P104" i="1"/>
  <c r="P246" i="1"/>
  <c r="P196" i="1"/>
  <c r="P145" i="1"/>
  <c r="P93" i="1"/>
  <c r="P22" i="1"/>
  <c r="P205" i="1"/>
  <c r="P40" i="1"/>
  <c r="P245" i="1"/>
  <c r="P144" i="1"/>
  <c r="P92" i="1"/>
  <c r="P10" i="1"/>
  <c r="P59" i="1"/>
  <c r="P50" i="1"/>
  <c r="P42" i="1"/>
  <c r="P31" i="1"/>
  <c r="P23" i="1"/>
  <c r="P12" i="1"/>
  <c r="P277" i="1"/>
  <c r="P269" i="1"/>
  <c r="P260" i="1"/>
  <c r="P252" i="1"/>
  <c r="P244" i="1"/>
  <c r="P235" i="1"/>
  <c r="P227" i="1"/>
  <c r="P219" i="1"/>
  <c r="P211" i="1"/>
  <c r="P202" i="1"/>
  <c r="P176" i="1"/>
  <c r="P168" i="1"/>
  <c r="P160" i="1"/>
  <c r="P151" i="1"/>
  <c r="P143" i="1"/>
  <c r="P135" i="1"/>
  <c r="P127" i="1"/>
  <c r="P118" i="1"/>
  <c r="P110" i="1"/>
  <c r="P102" i="1"/>
  <c r="P91" i="1"/>
  <c r="P80" i="1"/>
  <c r="P75" i="1"/>
  <c r="P66" i="1"/>
  <c r="P57" i="1"/>
  <c r="P48" i="1"/>
  <c r="P39" i="1"/>
  <c r="P29" i="1"/>
  <c r="P21" i="1"/>
  <c r="P9" i="1"/>
  <c r="J203" i="1"/>
  <c r="J38" i="1"/>
  <c r="J119" i="1"/>
  <c r="J242" i="1"/>
  <c r="J60" i="1"/>
  <c r="J261" i="1"/>
  <c r="J72" i="1"/>
  <c r="J83" i="1"/>
  <c r="J96" i="1"/>
  <c r="J99" i="1"/>
  <c r="J13" i="1"/>
  <c r="J166" i="1"/>
  <c r="M11" i="1"/>
  <c r="M83" i="1"/>
  <c r="M13" i="1"/>
  <c r="M96" i="1"/>
  <c r="M99" i="1"/>
  <c r="M119" i="1"/>
  <c r="M166" i="1"/>
  <c r="M203" i="1"/>
  <c r="M38" i="1"/>
  <c r="M242" i="1"/>
  <c r="M60" i="1"/>
  <c r="M261" i="1"/>
  <c r="M72" i="1"/>
  <c r="P276" i="1"/>
  <c r="P268" i="1"/>
  <c r="P259" i="1"/>
  <c r="P251" i="1"/>
  <c r="P243" i="1"/>
  <c r="P234" i="1"/>
  <c r="P226" i="1"/>
  <c r="P218" i="1"/>
  <c r="P210" i="1"/>
  <c r="P201" i="1"/>
  <c r="P175" i="1"/>
  <c r="P4" i="1"/>
  <c r="P159" i="1"/>
  <c r="P150" i="1"/>
  <c r="P142" i="1"/>
  <c r="P134" i="1"/>
  <c r="P126" i="1"/>
  <c r="P117" i="1"/>
  <c r="P109" i="1"/>
  <c r="P101" i="1"/>
  <c r="P90" i="1"/>
  <c r="P79" i="1"/>
  <c r="P74" i="1"/>
  <c r="P65" i="1"/>
  <c r="P56" i="1"/>
  <c r="P47" i="1"/>
  <c r="P37" i="1"/>
  <c r="P28" i="1"/>
  <c r="P20" i="1"/>
  <c r="P7" i="1"/>
  <c r="R20" i="8"/>
  <c r="R13" i="8" s="1"/>
  <c r="R14" i="8" s="1"/>
  <c r="T283" i="1" s="1"/>
  <c r="P9" i="24" s="1"/>
  <c r="P23" i="24" s="1"/>
  <c r="N11" i="1"/>
  <c r="N96" i="1"/>
  <c r="N261" i="1"/>
  <c r="N99" i="1"/>
  <c r="N13" i="1"/>
  <c r="N119" i="1"/>
  <c r="N166" i="1"/>
  <c r="N72" i="1"/>
  <c r="N203" i="1"/>
  <c r="N38" i="1"/>
  <c r="N242" i="1"/>
  <c r="N60" i="1"/>
  <c r="N83" i="1"/>
  <c r="P275" i="1"/>
  <c r="P267" i="1"/>
  <c r="P258" i="1"/>
  <c r="P250" i="1"/>
  <c r="P241" i="1"/>
  <c r="P233" i="1"/>
  <c r="P225" i="1"/>
  <c r="P217" i="1"/>
  <c r="P209" i="1"/>
  <c r="P200" i="1"/>
  <c r="P174" i="1"/>
  <c r="P167" i="1"/>
  <c r="P158" i="1"/>
  <c r="P149" i="1"/>
  <c r="P141" i="1"/>
  <c r="P133" i="1"/>
  <c r="P125" i="1"/>
  <c r="P116" i="1"/>
  <c r="P108" i="1"/>
  <c r="P100" i="1"/>
  <c r="P89" i="1"/>
  <c r="P81" i="1"/>
  <c r="P73" i="1"/>
  <c r="P64" i="1"/>
  <c r="P55" i="1"/>
  <c r="P46" i="1"/>
  <c r="P36" i="1"/>
  <c r="P27" i="1"/>
  <c r="P18" i="1"/>
  <c r="K11" i="1"/>
  <c r="K242" i="1"/>
  <c r="K60" i="1"/>
  <c r="K13" i="1"/>
  <c r="K261" i="1"/>
  <c r="K72" i="1"/>
  <c r="K83" i="1"/>
  <c r="K96" i="1"/>
  <c r="K99" i="1"/>
  <c r="K119" i="1"/>
  <c r="K203" i="1"/>
  <c r="K38" i="1"/>
  <c r="K166" i="1"/>
  <c r="Q11" i="1"/>
  <c r="Q166" i="1"/>
  <c r="Q203" i="1"/>
  <c r="Q38" i="1"/>
  <c r="Q242" i="1"/>
  <c r="Q60" i="1"/>
  <c r="Q261" i="1"/>
  <c r="Q72" i="1"/>
  <c r="Q99" i="1"/>
  <c r="Q83" i="1"/>
  <c r="Q13" i="1"/>
  <c r="Q96" i="1"/>
  <c r="Q119" i="1"/>
  <c r="P11" i="1"/>
  <c r="P119" i="1"/>
  <c r="P166" i="1"/>
  <c r="P96" i="1"/>
  <c r="P203" i="1"/>
  <c r="P38" i="1"/>
  <c r="P242" i="1"/>
  <c r="P60" i="1"/>
  <c r="P13" i="1"/>
  <c r="P261" i="1"/>
  <c r="P72" i="1"/>
  <c r="P83" i="1"/>
  <c r="P99" i="1"/>
  <c r="P282" i="1"/>
  <c r="P274" i="1"/>
  <c r="P266" i="1"/>
  <c r="P257" i="1"/>
  <c r="P249" i="1"/>
  <c r="P240" i="1"/>
  <c r="P232" i="1"/>
  <c r="P224" i="1"/>
  <c r="P216" i="1"/>
  <c r="P208" i="1"/>
  <c r="P199" i="1"/>
  <c r="P173" i="1"/>
  <c r="P165" i="1"/>
  <c r="P157" i="1"/>
  <c r="P148" i="1"/>
  <c r="P140" i="1"/>
  <c r="P132" i="1"/>
  <c r="P124" i="1"/>
  <c r="P115" i="1"/>
  <c r="P107" i="1"/>
  <c r="P98" i="1"/>
  <c r="P88" i="1"/>
  <c r="P78" i="1"/>
  <c r="P71" i="1"/>
  <c r="P63" i="1"/>
  <c r="P54" i="1"/>
  <c r="P45" i="1"/>
  <c r="P35" i="1"/>
  <c r="P26" i="1"/>
  <c r="P17" i="1"/>
  <c r="P5" i="1"/>
  <c r="J20" i="8"/>
  <c r="J13" i="8" s="1"/>
  <c r="J14" i="8" s="1"/>
  <c r="L283" i="1" s="1"/>
  <c r="H9" i="24" s="1"/>
  <c r="H23" i="24" s="1"/>
  <c r="S11" i="1"/>
  <c r="S242" i="1"/>
  <c r="S60" i="1"/>
  <c r="S261" i="1"/>
  <c r="S72" i="1"/>
  <c r="S13" i="1"/>
  <c r="S83" i="1"/>
  <c r="S96" i="1"/>
  <c r="S166" i="1"/>
  <c r="S99" i="1"/>
  <c r="S119" i="1"/>
  <c r="S203" i="1"/>
  <c r="S38" i="1"/>
  <c r="P281" i="1"/>
  <c r="P273" i="1"/>
  <c r="P265" i="1"/>
  <c r="P256" i="1"/>
  <c r="P248" i="1"/>
  <c r="P239" i="1"/>
  <c r="P231" i="1"/>
  <c r="P223" i="1"/>
  <c r="P215" i="1"/>
  <c r="P207" i="1"/>
  <c r="P198" i="1"/>
  <c r="P172" i="1"/>
  <c r="P164" i="1"/>
  <c r="P156" i="1"/>
  <c r="P147" i="1"/>
  <c r="P139" i="1"/>
  <c r="P131" i="1"/>
  <c r="P123" i="1"/>
  <c r="P114" i="1"/>
  <c r="P106" i="1"/>
  <c r="P95" i="1"/>
  <c r="P87" i="1"/>
  <c r="P82" i="1"/>
  <c r="P70" i="1"/>
  <c r="P62" i="1"/>
  <c r="P51" i="1"/>
  <c r="P44" i="1"/>
  <c r="P33" i="1"/>
  <c r="P25" i="1"/>
  <c r="P15" i="1"/>
  <c r="W11" i="1"/>
  <c r="W99" i="1"/>
  <c r="W119" i="1"/>
  <c r="W166" i="1"/>
  <c r="W13" i="1"/>
  <c r="W83" i="1"/>
  <c r="W203" i="1"/>
  <c r="W38" i="1"/>
  <c r="W242" i="1"/>
  <c r="W60" i="1"/>
  <c r="W261" i="1"/>
  <c r="W72" i="1"/>
  <c r="W96" i="1"/>
  <c r="R11" i="1"/>
  <c r="R203" i="1"/>
  <c r="R38" i="1"/>
  <c r="R242" i="1"/>
  <c r="R60" i="1"/>
  <c r="R261" i="1"/>
  <c r="R72" i="1"/>
  <c r="R83" i="1"/>
  <c r="R96" i="1"/>
  <c r="R119" i="1"/>
  <c r="R99" i="1"/>
  <c r="R13" i="1"/>
  <c r="R166" i="1"/>
  <c r="V11" i="1"/>
  <c r="V96" i="1"/>
  <c r="V99" i="1"/>
  <c r="V13" i="1"/>
  <c r="V119" i="1"/>
  <c r="V166" i="1"/>
  <c r="V203" i="1"/>
  <c r="V38" i="1"/>
  <c r="V261" i="1"/>
  <c r="V242" i="1"/>
  <c r="V60" i="1"/>
  <c r="V83" i="1"/>
  <c r="V72" i="1"/>
  <c r="U11" i="1"/>
  <c r="U83" i="1"/>
  <c r="U13" i="1"/>
  <c r="U96" i="1"/>
  <c r="U99" i="1"/>
  <c r="U119" i="1"/>
  <c r="U242" i="1"/>
  <c r="U166" i="1"/>
  <c r="U60" i="1"/>
  <c r="U203" i="1"/>
  <c r="U38" i="1"/>
  <c r="U261" i="1"/>
  <c r="U72" i="1"/>
  <c r="P280" i="1"/>
  <c r="P272" i="1"/>
  <c r="P264" i="1"/>
  <c r="P255" i="1"/>
  <c r="P247" i="1"/>
  <c r="P238" i="1"/>
  <c r="P230" i="1"/>
  <c r="P222" i="1"/>
  <c r="P214" i="1"/>
  <c r="P206" i="1"/>
  <c r="P197" i="1"/>
  <c r="P171" i="1"/>
  <c r="P163" i="1"/>
  <c r="P155" i="1"/>
  <c r="P146" i="1"/>
  <c r="P138" i="1"/>
  <c r="P130" i="1"/>
  <c r="P122" i="1"/>
  <c r="P113" i="1"/>
  <c r="P105" i="1"/>
  <c r="P94" i="1"/>
  <c r="P86" i="1"/>
  <c r="P53" i="1"/>
  <c r="P69" i="1"/>
  <c r="P61" i="1"/>
  <c r="P52" i="1"/>
  <c r="P43" i="1"/>
  <c r="P32" i="1"/>
  <c r="P24" i="1"/>
  <c r="P14" i="1"/>
  <c r="O33" i="1"/>
  <c r="O99" i="1"/>
  <c r="O119" i="1"/>
  <c r="O166" i="1"/>
  <c r="O13" i="1"/>
  <c r="O203" i="1"/>
  <c r="O38" i="1"/>
  <c r="O83" i="1"/>
  <c r="O242" i="1"/>
  <c r="O60" i="1"/>
  <c r="O261" i="1"/>
  <c r="O72" i="1"/>
  <c r="O96" i="1"/>
  <c r="R157" i="1"/>
  <c r="O244" i="1"/>
  <c r="O81" i="1"/>
  <c r="R139" i="1"/>
  <c r="O238" i="1"/>
  <c r="O73" i="1"/>
  <c r="R281" i="1"/>
  <c r="R116" i="1"/>
  <c r="O199" i="1"/>
  <c r="O65" i="1"/>
  <c r="R176" i="1"/>
  <c r="R263" i="1"/>
  <c r="R92" i="1"/>
  <c r="O9" i="1"/>
  <c r="R240" i="1"/>
  <c r="R64" i="1"/>
  <c r="R217" i="1"/>
  <c r="R40" i="1"/>
  <c r="O142" i="1"/>
  <c r="R264" i="1"/>
  <c r="R241" i="1"/>
  <c r="R223" i="1"/>
  <c r="R200" i="1"/>
  <c r="R177" i="1"/>
  <c r="R163" i="1"/>
  <c r="R140" i="1"/>
  <c r="R117" i="1"/>
  <c r="R93" i="1"/>
  <c r="R65" i="1"/>
  <c r="R42" i="1"/>
  <c r="R17" i="1"/>
  <c r="R239" i="1"/>
  <c r="R115" i="1"/>
  <c r="R279" i="1"/>
  <c r="R256" i="1"/>
  <c r="R233" i="1"/>
  <c r="R215" i="1"/>
  <c r="R169" i="1"/>
  <c r="R155" i="1"/>
  <c r="R132" i="1"/>
  <c r="R109" i="1"/>
  <c r="R85" i="1"/>
  <c r="R57" i="1"/>
  <c r="R32" i="1"/>
  <c r="O279" i="1"/>
  <c r="O231" i="1"/>
  <c r="O121" i="1"/>
  <c r="O57" i="1"/>
  <c r="R216" i="1"/>
  <c r="R156" i="1"/>
  <c r="R133" i="1"/>
  <c r="R33" i="1"/>
  <c r="R9" i="1"/>
  <c r="R273" i="1"/>
  <c r="R255" i="1"/>
  <c r="R232" i="1"/>
  <c r="R209" i="1"/>
  <c r="R168" i="1"/>
  <c r="R149" i="1"/>
  <c r="R131" i="1"/>
  <c r="R108" i="1"/>
  <c r="R84" i="1"/>
  <c r="R56" i="1"/>
  <c r="R26" i="1"/>
  <c r="O273" i="1"/>
  <c r="O224" i="1"/>
  <c r="O174" i="1"/>
  <c r="O116" i="1"/>
  <c r="O49" i="1"/>
  <c r="R272" i="1"/>
  <c r="R249" i="1"/>
  <c r="R231" i="1"/>
  <c r="R208" i="1"/>
  <c r="R167" i="1"/>
  <c r="R148" i="1"/>
  <c r="R125" i="1"/>
  <c r="R107" i="1"/>
  <c r="R74" i="1"/>
  <c r="R50" i="1"/>
  <c r="R25" i="1"/>
  <c r="O269" i="1"/>
  <c r="O217" i="1"/>
  <c r="O4" i="1"/>
  <c r="O110" i="1"/>
  <c r="R257" i="1"/>
  <c r="R175" i="1"/>
  <c r="R58" i="1"/>
  <c r="O10" i="1"/>
  <c r="O11" i="1"/>
  <c r="R271" i="1"/>
  <c r="R248" i="1"/>
  <c r="R225" i="1"/>
  <c r="R207" i="1"/>
  <c r="R165" i="1"/>
  <c r="R147" i="1"/>
  <c r="R124" i="1"/>
  <c r="R101" i="1"/>
  <c r="R73" i="1"/>
  <c r="R49" i="1"/>
  <c r="R24" i="1"/>
  <c r="O263" i="1"/>
  <c r="O212" i="1"/>
  <c r="O160" i="1"/>
  <c r="O103" i="1"/>
  <c r="O25" i="1"/>
  <c r="R280" i="1"/>
  <c r="R91" i="1"/>
  <c r="R265" i="1"/>
  <c r="R247" i="1"/>
  <c r="R224" i="1"/>
  <c r="R201" i="1"/>
  <c r="R164" i="1"/>
  <c r="R141" i="1"/>
  <c r="R123" i="1"/>
  <c r="R100" i="1"/>
  <c r="R66" i="1"/>
  <c r="R48" i="1"/>
  <c r="R18" i="1"/>
  <c r="O256" i="1"/>
  <c r="O206" i="1"/>
  <c r="O148" i="1"/>
  <c r="O89" i="1"/>
  <c r="O17" i="1"/>
  <c r="O278" i="1"/>
  <c r="O268" i="1"/>
  <c r="O255" i="1"/>
  <c r="O241" i="1"/>
  <c r="O230" i="1"/>
  <c r="O216" i="1"/>
  <c r="O204" i="1"/>
  <c r="O177" i="1"/>
  <c r="O152" i="1"/>
  <c r="O140" i="1"/>
  <c r="O127" i="1"/>
  <c r="O113" i="1"/>
  <c r="O102" i="1"/>
  <c r="O88" i="1"/>
  <c r="O56" i="1"/>
  <c r="O40" i="1"/>
  <c r="O24" i="1"/>
  <c r="O277" i="1"/>
  <c r="O265" i="1"/>
  <c r="O254" i="1"/>
  <c r="O240" i="1"/>
  <c r="O228" i="1"/>
  <c r="O215" i="1"/>
  <c r="O201" i="1"/>
  <c r="O176" i="1"/>
  <c r="O164" i="1"/>
  <c r="O151" i="1"/>
  <c r="O137" i="1"/>
  <c r="O126" i="1"/>
  <c r="O112" i="1"/>
  <c r="O100" i="1"/>
  <c r="O87" i="1"/>
  <c r="O71" i="1"/>
  <c r="O55" i="1"/>
  <c r="O39" i="1"/>
  <c r="O23" i="1"/>
  <c r="O7" i="1"/>
  <c r="O276" i="1"/>
  <c r="O264" i="1"/>
  <c r="O252" i="1"/>
  <c r="O239" i="1"/>
  <c r="O225" i="1"/>
  <c r="O214" i="1"/>
  <c r="O200" i="1"/>
  <c r="O175" i="1"/>
  <c r="O161" i="1"/>
  <c r="O150" i="1"/>
  <c r="O136" i="1"/>
  <c r="O124" i="1"/>
  <c r="O111" i="1"/>
  <c r="O86" i="1"/>
  <c r="O70" i="1"/>
  <c r="O54" i="1"/>
  <c r="O22" i="1"/>
  <c r="O6" i="1"/>
  <c r="O272" i="1"/>
  <c r="O262" i="1"/>
  <c r="O248" i="1"/>
  <c r="O236" i="1"/>
  <c r="O223" i="1"/>
  <c r="O209" i="1"/>
  <c r="O198" i="1"/>
  <c r="O172" i="1"/>
  <c r="O159" i="1"/>
  <c r="O145" i="1"/>
  <c r="O134" i="1"/>
  <c r="O120" i="1"/>
  <c r="O108" i="1"/>
  <c r="O95" i="1"/>
  <c r="O82" i="1"/>
  <c r="O64" i="1"/>
  <c r="O48" i="1"/>
  <c r="O32" i="1"/>
  <c r="O281" i="1"/>
  <c r="O271" i="1"/>
  <c r="O260" i="1"/>
  <c r="O247" i="1"/>
  <c r="O233" i="1"/>
  <c r="O222" i="1"/>
  <c r="O208" i="1"/>
  <c r="O196" i="1"/>
  <c r="O169" i="1"/>
  <c r="O158" i="1"/>
  <c r="O144" i="1"/>
  <c r="O132" i="1"/>
  <c r="O105" i="1"/>
  <c r="O94" i="1"/>
  <c r="O79" i="1"/>
  <c r="O63" i="1"/>
  <c r="O47" i="1"/>
  <c r="O31" i="1"/>
  <c r="O15" i="1"/>
  <c r="X21" i="8"/>
  <c r="O280" i="1"/>
  <c r="O270" i="1"/>
  <c r="O257" i="1"/>
  <c r="O246" i="1"/>
  <c r="O232" i="1"/>
  <c r="O220" i="1"/>
  <c r="O207" i="1"/>
  <c r="O168" i="1"/>
  <c r="O156" i="1"/>
  <c r="O143" i="1"/>
  <c r="O129" i="1"/>
  <c r="O118" i="1"/>
  <c r="O104" i="1"/>
  <c r="O92" i="1"/>
  <c r="O78" i="1"/>
  <c r="O62" i="1"/>
  <c r="O46" i="1"/>
  <c r="O30" i="1"/>
  <c r="O14" i="1"/>
  <c r="R278" i="1"/>
  <c r="R270" i="1"/>
  <c r="R262" i="1"/>
  <c r="R254" i="1"/>
  <c r="R246" i="1"/>
  <c r="R238" i="1"/>
  <c r="R230" i="1"/>
  <c r="R222" i="1"/>
  <c r="R214" i="1"/>
  <c r="R206" i="1"/>
  <c r="R198" i="1"/>
  <c r="R174" i="1"/>
  <c r="R4" i="1"/>
  <c r="R162" i="1"/>
  <c r="R154" i="1"/>
  <c r="R146" i="1"/>
  <c r="R138" i="1"/>
  <c r="R130" i="1"/>
  <c r="R122" i="1"/>
  <c r="R114" i="1"/>
  <c r="R106" i="1"/>
  <c r="R98" i="1"/>
  <c r="R90" i="1"/>
  <c r="R79" i="1"/>
  <c r="R71" i="1"/>
  <c r="R63" i="1"/>
  <c r="R55" i="1"/>
  <c r="R47" i="1"/>
  <c r="R39" i="1"/>
  <c r="R31" i="1"/>
  <c r="R23" i="1"/>
  <c r="R15" i="1"/>
  <c r="R7" i="1"/>
  <c r="R277" i="1"/>
  <c r="R269" i="1"/>
  <c r="R253" i="1"/>
  <c r="R245" i="1"/>
  <c r="R237" i="1"/>
  <c r="R229" i="1"/>
  <c r="R221" i="1"/>
  <c r="R213" i="1"/>
  <c r="R205" i="1"/>
  <c r="R197" i="1"/>
  <c r="R173" i="1"/>
  <c r="R80" i="1"/>
  <c r="R161" i="1"/>
  <c r="R145" i="1"/>
  <c r="R137" i="1"/>
  <c r="R129" i="1"/>
  <c r="R121" i="1"/>
  <c r="R113" i="1"/>
  <c r="R105" i="1"/>
  <c r="R89" i="1"/>
  <c r="R78" i="1"/>
  <c r="R70" i="1"/>
  <c r="R62" i="1"/>
  <c r="R54" i="1"/>
  <c r="R46" i="1"/>
  <c r="R30" i="1"/>
  <c r="R22" i="1"/>
  <c r="R14" i="1"/>
  <c r="R6" i="1"/>
  <c r="O253" i="1"/>
  <c r="O245" i="1"/>
  <c r="O237" i="1"/>
  <c r="O229" i="1"/>
  <c r="O221" i="1"/>
  <c r="O213" i="1"/>
  <c r="O205" i="1"/>
  <c r="O197" i="1"/>
  <c r="O173" i="1"/>
  <c r="O165" i="1"/>
  <c r="O157" i="1"/>
  <c r="O149" i="1"/>
  <c r="O141" i="1"/>
  <c r="O133" i="1"/>
  <c r="O125" i="1"/>
  <c r="O117" i="1"/>
  <c r="O109" i="1"/>
  <c r="O101" i="1"/>
  <c r="O93" i="1"/>
  <c r="O85" i="1"/>
  <c r="O77" i="1"/>
  <c r="O69" i="1"/>
  <c r="O61" i="1"/>
  <c r="O53" i="1"/>
  <c r="O45" i="1"/>
  <c r="O37" i="1"/>
  <c r="O29" i="1"/>
  <c r="O21" i="1"/>
  <c r="O5" i="1"/>
  <c r="R276" i="1"/>
  <c r="R268" i="1"/>
  <c r="R260" i="1"/>
  <c r="R252" i="1"/>
  <c r="R244" i="1"/>
  <c r="R236" i="1"/>
  <c r="R228" i="1"/>
  <c r="R220" i="1"/>
  <c r="R212" i="1"/>
  <c r="R204" i="1"/>
  <c r="R196" i="1"/>
  <c r="R172" i="1"/>
  <c r="R81" i="1"/>
  <c r="R160" i="1"/>
  <c r="R152" i="1"/>
  <c r="R144" i="1"/>
  <c r="R136" i="1"/>
  <c r="R128" i="1"/>
  <c r="R120" i="1"/>
  <c r="R112" i="1"/>
  <c r="R104" i="1"/>
  <c r="R88" i="1"/>
  <c r="R77" i="1"/>
  <c r="R69" i="1"/>
  <c r="R61" i="1"/>
  <c r="R53" i="1"/>
  <c r="R45" i="1"/>
  <c r="R37" i="1"/>
  <c r="R29" i="1"/>
  <c r="R21" i="1"/>
  <c r="R5" i="1"/>
  <c r="O84" i="1"/>
  <c r="O76" i="1"/>
  <c r="O68" i="1"/>
  <c r="O52" i="1"/>
  <c r="O44" i="1"/>
  <c r="O36" i="1"/>
  <c r="O28" i="1"/>
  <c r="O20" i="1"/>
  <c r="O12" i="1"/>
  <c r="R275" i="1"/>
  <c r="R267" i="1"/>
  <c r="R259" i="1"/>
  <c r="R251" i="1"/>
  <c r="R243" i="1"/>
  <c r="R235" i="1"/>
  <c r="R227" i="1"/>
  <c r="R219" i="1"/>
  <c r="R211" i="1"/>
  <c r="R171" i="1"/>
  <c r="R82" i="1"/>
  <c r="R159" i="1"/>
  <c r="R151" i="1"/>
  <c r="R143" i="1"/>
  <c r="R135" i="1"/>
  <c r="R127" i="1"/>
  <c r="R111" i="1"/>
  <c r="R103" i="1"/>
  <c r="R95" i="1"/>
  <c r="R87" i="1"/>
  <c r="R76" i="1"/>
  <c r="R68" i="1"/>
  <c r="R52" i="1"/>
  <c r="R44" i="1"/>
  <c r="R36" i="1"/>
  <c r="R28" i="1"/>
  <c r="R20" i="1"/>
  <c r="R12" i="1"/>
  <c r="O167" i="1"/>
  <c r="O275" i="1"/>
  <c r="O267" i="1"/>
  <c r="O259" i="1"/>
  <c r="O251" i="1"/>
  <c r="O243" i="1"/>
  <c r="O235" i="1"/>
  <c r="O227" i="1"/>
  <c r="O219" i="1"/>
  <c r="O211" i="1"/>
  <c r="O171" i="1"/>
  <c r="O163" i="1"/>
  <c r="O155" i="1"/>
  <c r="O147" i="1"/>
  <c r="O139" i="1"/>
  <c r="O131" i="1"/>
  <c r="O123" i="1"/>
  <c r="O115" i="1"/>
  <c r="O107" i="1"/>
  <c r="O91" i="1"/>
  <c r="O75" i="1"/>
  <c r="O67" i="1"/>
  <c r="O59" i="1"/>
  <c r="O51" i="1"/>
  <c r="O43" i="1"/>
  <c r="O35" i="1"/>
  <c r="O27" i="1"/>
  <c r="R282" i="1"/>
  <c r="R274" i="1"/>
  <c r="R266" i="1"/>
  <c r="R258" i="1"/>
  <c r="R250" i="1"/>
  <c r="R234" i="1"/>
  <c r="R226" i="1"/>
  <c r="R218" i="1"/>
  <c r="R210" i="1"/>
  <c r="R202" i="1"/>
  <c r="R170" i="1"/>
  <c r="R158" i="1"/>
  <c r="R150" i="1"/>
  <c r="R142" i="1"/>
  <c r="R134" i="1"/>
  <c r="R126" i="1"/>
  <c r="R118" i="1"/>
  <c r="R110" i="1"/>
  <c r="R102" i="1"/>
  <c r="R94" i="1"/>
  <c r="R86" i="1"/>
  <c r="R75" i="1"/>
  <c r="R67" i="1"/>
  <c r="R59" i="1"/>
  <c r="R51" i="1"/>
  <c r="R43" i="1"/>
  <c r="R35" i="1"/>
  <c r="R27" i="1"/>
  <c r="O282" i="1"/>
  <c r="O274" i="1"/>
  <c r="O266" i="1"/>
  <c r="O258" i="1"/>
  <c r="O250" i="1"/>
  <c r="O234" i="1"/>
  <c r="O226" i="1"/>
  <c r="O218" i="1"/>
  <c r="O210" i="1"/>
  <c r="O202" i="1"/>
  <c r="O170" i="1"/>
  <c r="O162" i="1"/>
  <c r="O154" i="1"/>
  <c r="O146" i="1"/>
  <c r="O138" i="1"/>
  <c r="O130" i="1"/>
  <c r="O122" i="1"/>
  <c r="O114" i="1"/>
  <c r="O106" i="1"/>
  <c r="O98" i="1"/>
  <c r="O90" i="1"/>
  <c r="O80" i="1"/>
  <c r="O74" i="1"/>
  <c r="O66" i="1"/>
  <c r="O58" i="1"/>
  <c r="O50" i="1"/>
  <c r="O42" i="1"/>
  <c r="O26" i="1"/>
  <c r="O18" i="1"/>
  <c r="V27" i="1"/>
  <c r="V35" i="1"/>
  <c r="V43" i="1"/>
  <c r="V51" i="1"/>
  <c r="V59" i="1"/>
  <c r="V67" i="1"/>
  <c r="V75" i="1"/>
  <c r="V91" i="1"/>
  <c r="V107" i="1"/>
  <c r="V115" i="1"/>
  <c r="V123" i="1"/>
  <c r="V131" i="1"/>
  <c r="V24" i="1"/>
  <c r="V32" i="1"/>
  <c r="V40" i="1"/>
  <c r="V48" i="1"/>
  <c r="V56" i="1"/>
  <c r="V64" i="1"/>
  <c r="V80" i="1"/>
  <c r="V88" i="1"/>
  <c r="V104" i="1"/>
  <c r="V112" i="1"/>
  <c r="V120" i="1"/>
  <c r="V128" i="1"/>
  <c r="V136" i="1"/>
  <c r="V5" i="1"/>
  <c r="V21" i="1"/>
  <c r="V29" i="1"/>
  <c r="V37" i="1"/>
  <c r="V45" i="1"/>
  <c r="V53" i="1"/>
  <c r="V61" i="1"/>
  <c r="V69" i="1"/>
  <c r="V77" i="1"/>
  <c r="V85" i="1"/>
  <c r="V93" i="1"/>
  <c r="V101" i="1"/>
  <c r="V109" i="1"/>
  <c r="V117" i="1"/>
  <c r="V125" i="1"/>
  <c r="V133" i="1"/>
  <c r="V10" i="1"/>
  <c r="V18" i="1"/>
  <c r="V26" i="1"/>
  <c r="V42" i="1"/>
  <c r="V50" i="1"/>
  <c r="V58" i="1"/>
  <c r="V66" i="1"/>
  <c r="V74" i="1"/>
  <c r="V82" i="1"/>
  <c r="V90" i="1"/>
  <c r="V98" i="1"/>
  <c r="V106" i="1"/>
  <c r="V114" i="1"/>
  <c r="V122" i="1"/>
  <c r="V130" i="1"/>
  <c r="V138" i="1"/>
  <c r="V9" i="1"/>
  <c r="V17" i="1"/>
  <c r="V25" i="1"/>
  <c r="V33" i="1"/>
  <c r="V49" i="1"/>
  <c r="V57" i="1"/>
  <c r="V65" i="1"/>
  <c r="V73" i="1"/>
  <c r="V81" i="1"/>
  <c r="V89" i="1"/>
  <c r="V105" i="1"/>
  <c r="V113" i="1"/>
  <c r="V121" i="1"/>
  <c r="V129" i="1"/>
  <c r="V137" i="1"/>
  <c r="V20" i="1"/>
  <c r="V54" i="1"/>
  <c r="V63" i="1"/>
  <c r="V84" i="1"/>
  <c r="V118" i="1"/>
  <c r="V127" i="1"/>
  <c r="V139" i="1"/>
  <c r="V144" i="1"/>
  <c r="V152" i="1"/>
  <c r="V160" i="1"/>
  <c r="V168" i="1"/>
  <c r="V176" i="1"/>
  <c r="V200" i="1"/>
  <c r="V208" i="1"/>
  <c r="V216" i="1"/>
  <c r="V224" i="1"/>
  <c r="V232" i="1"/>
  <c r="V240" i="1"/>
  <c r="V248" i="1"/>
  <c r="V256" i="1"/>
  <c r="V264" i="1"/>
  <c r="V272" i="1"/>
  <c r="V280" i="1"/>
  <c r="V12" i="1"/>
  <c r="V46" i="1"/>
  <c r="V55" i="1"/>
  <c r="V76" i="1"/>
  <c r="V110" i="1"/>
  <c r="V141" i="1"/>
  <c r="V149" i="1"/>
  <c r="V157" i="1"/>
  <c r="V165" i="1"/>
  <c r="V173" i="1"/>
  <c r="V197" i="1"/>
  <c r="V205" i="1"/>
  <c r="V213" i="1"/>
  <c r="V221" i="1"/>
  <c r="V229" i="1"/>
  <c r="V237" i="1"/>
  <c r="V245" i="1"/>
  <c r="V253" i="1"/>
  <c r="V269" i="1"/>
  <c r="V277" i="1"/>
  <c r="V47" i="1"/>
  <c r="V68" i="1"/>
  <c r="V102" i="1"/>
  <c r="V111" i="1"/>
  <c r="V132" i="1"/>
  <c r="V146" i="1"/>
  <c r="V154" i="1"/>
  <c r="V162" i="1"/>
  <c r="V170" i="1"/>
  <c r="V202" i="1"/>
  <c r="V210" i="1"/>
  <c r="V218" i="1"/>
  <c r="V226" i="1"/>
  <c r="V234" i="1"/>
  <c r="V250" i="1"/>
  <c r="V258" i="1"/>
  <c r="V266" i="1"/>
  <c r="V274" i="1"/>
  <c r="V282" i="1"/>
  <c r="V30" i="1"/>
  <c r="V39" i="1"/>
  <c r="V94" i="1"/>
  <c r="V103" i="1"/>
  <c r="V124" i="1"/>
  <c r="V143" i="1"/>
  <c r="V151" i="1"/>
  <c r="V159" i="1"/>
  <c r="V167" i="1"/>
  <c r="V175" i="1"/>
  <c r="V199" i="1"/>
  <c r="V207" i="1"/>
  <c r="V215" i="1"/>
  <c r="V223" i="1"/>
  <c r="V231" i="1"/>
  <c r="V239" i="1"/>
  <c r="V247" i="1"/>
  <c r="V255" i="1"/>
  <c r="V263" i="1"/>
  <c r="V271" i="1"/>
  <c r="V279" i="1"/>
  <c r="V22" i="1"/>
  <c r="V31" i="1"/>
  <c r="V52" i="1"/>
  <c r="V86" i="1"/>
  <c r="V95" i="1"/>
  <c r="V116" i="1"/>
  <c r="V140" i="1"/>
  <c r="V148" i="1"/>
  <c r="V156" i="1"/>
  <c r="V164" i="1"/>
  <c r="V6" i="1"/>
  <c r="V15" i="1"/>
  <c r="V36" i="1"/>
  <c r="V70" i="1"/>
  <c r="V79" i="1"/>
  <c r="V100" i="1"/>
  <c r="V134" i="1"/>
  <c r="V142" i="1"/>
  <c r="V150" i="1"/>
  <c r="V158" i="1"/>
  <c r="V174" i="1"/>
  <c r="V198" i="1"/>
  <c r="V206" i="1"/>
  <c r="V214" i="1"/>
  <c r="V222" i="1"/>
  <c r="V230" i="1"/>
  <c r="V238" i="1"/>
  <c r="V246" i="1"/>
  <c r="V254" i="1"/>
  <c r="V262" i="1"/>
  <c r="V270" i="1"/>
  <c r="V278" i="1"/>
  <c r="V135" i="1"/>
  <c r="V163" i="1"/>
  <c r="V219" i="1"/>
  <c r="V228" i="1"/>
  <c r="V249" i="1"/>
  <c r="V87" i="1"/>
  <c r="V145" i="1"/>
  <c r="V177" i="1"/>
  <c r="V211" i="1"/>
  <c r="V220" i="1"/>
  <c r="V241" i="1"/>
  <c r="V275" i="1"/>
  <c r="V71" i="1"/>
  <c r="V169" i="1"/>
  <c r="V212" i="1"/>
  <c r="V233" i="1"/>
  <c r="V267" i="1"/>
  <c r="V276" i="1"/>
  <c r="V23" i="1"/>
  <c r="V108" i="1"/>
  <c r="V204" i="1"/>
  <c r="V225" i="1"/>
  <c r="V259" i="1"/>
  <c r="V268" i="1"/>
  <c r="V7" i="1"/>
  <c r="V92" i="1"/>
  <c r="V126" i="1"/>
  <c r="V147" i="1"/>
  <c r="V196" i="1"/>
  <c r="V217" i="1"/>
  <c r="V251" i="1"/>
  <c r="V260" i="1"/>
  <c r="V281" i="1"/>
  <c r="V44" i="1"/>
  <c r="V78" i="1"/>
  <c r="V161" i="1"/>
  <c r="V209" i="1"/>
  <c r="V243" i="1"/>
  <c r="V252" i="1"/>
  <c r="V273" i="1"/>
  <c r="V28" i="1"/>
  <c r="V62" i="1"/>
  <c r="V155" i="1"/>
  <c r="V171" i="1"/>
  <c r="V201" i="1"/>
  <c r="V235" i="1"/>
  <c r="V244" i="1"/>
  <c r="V265" i="1"/>
  <c r="V14" i="1"/>
  <c r="V172" i="1"/>
  <c r="V227" i="1"/>
  <c r="V236" i="1"/>
  <c r="V257" i="1"/>
  <c r="V4" i="1"/>
  <c r="N5" i="1"/>
  <c r="N21" i="1"/>
  <c r="N29" i="1"/>
  <c r="N37" i="1"/>
  <c r="N45" i="1"/>
  <c r="N52" i="1"/>
  <c r="N24" i="1"/>
  <c r="N32" i="1"/>
  <c r="N40" i="1"/>
  <c r="N48" i="1"/>
  <c r="N27" i="1"/>
  <c r="N35" i="1"/>
  <c r="N43" i="1"/>
  <c r="N6" i="1"/>
  <c r="N14" i="1"/>
  <c r="N22" i="1"/>
  <c r="N30" i="1"/>
  <c r="N46" i="1"/>
  <c r="N51" i="1"/>
  <c r="N54" i="1"/>
  <c r="N55" i="1"/>
  <c r="N56" i="1"/>
  <c r="N57" i="1"/>
  <c r="N58" i="1"/>
  <c r="N59" i="1"/>
  <c r="N61" i="1"/>
  <c r="N62" i="1"/>
  <c r="N63" i="1"/>
  <c r="N64" i="1"/>
  <c r="N65" i="1"/>
  <c r="N66" i="1"/>
  <c r="N67" i="1"/>
  <c r="N68" i="1"/>
  <c r="N69" i="1"/>
  <c r="N70" i="1"/>
  <c r="N71" i="1"/>
  <c r="N73" i="1"/>
  <c r="N74" i="1"/>
  <c r="N75" i="1"/>
  <c r="N76" i="1"/>
  <c r="N77" i="1"/>
  <c r="N78" i="1"/>
  <c r="N79" i="1"/>
  <c r="N80" i="1"/>
  <c r="N81" i="1"/>
  <c r="N82" i="1"/>
  <c r="N9" i="1"/>
  <c r="N17" i="1"/>
  <c r="N25" i="1"/>
  <c r="N33" i="1"/>
  <c r="N49" i="1"/>
  <c r="N12" i="1"/>
  <c r="N20" i="1"/>
  <c r="N28" i="1"/>
  <c r="N36" i="1"/>
  <c r="N44" i="1"/>
  <c r="N53" i="1"/>
  <c r="N7" i="1"/>
  <c r="N15" i="1"/>
  <c r="N23" i="1"/>
  <c r="N31" i="1"/>
  <c r="N39" i="1"/>
  <c r="N47" i="1"/>
  <c r="N10" i="1"/>
  <c r="N18" i="1"/>
  <c r="N26" i="1"/>
  <c r="N42" i="1"/>
  <c r="N50" i="1"/>
  <c r="N84" i="1"/>
  <c r="N85" i="1"/>
  <c r="N86" i="1"/>
  <c r="N87" i="1"/>
  <c r="N88" i="1"/>
  <c r="N89" i="1"/>
  <c r="N90" i="1"/>
  <c r="N91" i="1"/>
  <c r="N92" i="1"/>
  <c r="N93" i="1"/>
  <c r="N94" i="1"/>
  <c r="N95" i="1"/>
  <c r="N98" i="1"/>
  <c r="N100" i="1"/>
  <c r="N101" i="1"/>
  <c r="N102" i="1"/>
  <c r="N103" i="1"/>
  <c r="N104" i="1"/>
  <c r="N105" i="1"/>
  <c r="N106" i="1"/>
  <c r="N107" i="1"/>
  <c r="N108" i="1"/>
  <c r="N109" i="1"/>
  <c r="N110" i="1"/>
  <c r="N111" i="1"/>
  <c r="N112" i="1"/>
  <c r="N113" i="1"/>
  <c r="N114" i="1"/>
  <c r="N115" i="1"/>
  <c r="N116" i="1"/>
  <c r="N117" i="1"/>
  <c r="N118"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4" i="1"/>
  <c r="N155" i="1"/>
  <c r="N156" i="1"/>
  <c r="N157" i="1"/>
  <c r="N158" i="1"/>
  <c r="N159" i="1"/>
  <c r="N160" i="1"/>
  <c r="N161" i="1"/>
  <c r="N162" i="1"/>
  <c r="N163" i="1"/>
  <c r="N164" i="1"/>
  <c r="N165" i="1"/>
  <c r="N4" i="1"/>
  <c r="N168" i="1"/>
  <c r="N169" i="1"/>
  <c r="N170" i="1"/>
  <c r="N171" i="1"/>
  <c r="N172" i="1"/>
  <c r="N173" i="1"/>
  <c r="N174" i="1"/>
  <c r="N175" i="1"/>
  <c r="N176" i="1"/>
  <c r="N177" i="1"/>
  <c r="N196" i="1"/>
  <c r="N197" i="1"/>
  <c r="N198" i="1"/>
  <c r="N199" i="1"/>
  <c r="N200" i="1"/>
  <c r="N201" i="1"/>
  <c r="N202"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3" i="1"/>
  <c r="N244" i="1"/>
  <c r="N245" i="1"/>
  <c r="N246" i="1"/>
  <c r="N247" i="1"/>
  <c r="N248" i="1"/>
  <c r="N249" i="1"/>
  <c r="N250" i="1"/>
  <c r="N251" i="1"/>
  <c r="N252" i="1"/>
  <c r="N253" i="1"/>
  <c r="N254" i="1"/>
  <c r="N255" i="1"/>
  <c r="N256" i="1"/>
  <c r="N257" i="1"/>
  <c r="N258" i="1"/>
  <c r="N259" i="1"/>
  <c r="N260" i="1"/>
  <c r="N262" i="1"/>
  <c r="N263" i="1"/>
  <c r="N264" i="1"/>
  <c r="N265" i="1"/>
  <c r="N266" i="1"/>
  <c r="N267" i="1"/>
  <c r="N268" i="1"/>
  <c r="N269" i="1"/>
  <c r="N270" i="1"/>
  <c r="N271" i="1"/>
  <c r="N272" i="1"/>
  <c r="N273" i="1"/>
  <c r="N274" i="1"/>
  <c r="N275" i="1"/>
  <c r="N276" i="1"/>
  <c r="N277" i="1"/>
  <c r="N278" i="1"/>
  <c r="N279" i="1"/>
  <c r="N280" i="1"/>
  <c r="N281" i="1"/>
  <c r="N282" i="1"/>
  <c r="N167" i="1"/>
  <c r="W6" i="1"/>
  <c r="W14" i="1"/>
  <c r="W22" i="1"/>
  <c r="W30" i="1"/>
  <c r="W46" i="1"/>
  <c r="W54" i="1"/>
  <c r="W62" i="1"/>
  <c r="W70" i="1"/>
  <c r="W78" i="1"/>
  <c r="W86" i="1"/>
  <c r="W94" i="1"/>
  <c r="W102" i="1"/>
  <c r="W110" i="1"/>
  <c r="W118" i="1"/>
  <c r="W126" i="1"/>
  <c r="W134" i="1"/>
  <c r="W27" i="1"/>
  <c r="W35" i="1"/>
  <c r="W43" i="1"/>
  <c r="W51" i="1"/>
  <c r="W59" i="1"/>
  <c r="W67" i="1"/>
  <c r="W75" i="1"/>
  <c r="W91" i="1"/>
  <c r="W107" i="1"/>
  <c r="W115" i="1"/>
  <c r="W123" i="1"/>
  <c r="W131" i="1"/>
  <c r="W24" i="1"/>
  <c r="W32" i="1"/>
  <c r="W40" i="1"/>
  <c r="W48" i="1"/>
  <c r="W56" i="1"/>
  <c r="W64" i="1"/>
  <c r="W80" i="1"/>
  <c r="W88" i="1"/>
  <c r="W104" i="1"/>
  <c r="W112" i="1"/>
  <c r="W120" i="1"/>
  <c r="W128" i="1"/>
  <c r="W136" i="1"/>
  <c r="W5" i="1"/>
  <c r="W21" i="1"/>
  <c r="W29" i="1"/>
  <c r="W37" i="1"/>
  <c r="W45" i="1"/>
  <c r="W53" i="1"/>
  <c r="W61" i="1"/>
  <c r="W69" i="1"/>
  <c r="W77" i="1"/>
  <c r="W85" i="1"/>
  <c r="W93" i="1"/>
  <c r="W101" i="1"/>
  <c r="W109" i="1"/>
  <c r="W117" i="1"/>
  <c r="W125" i="1"/>
  <c r="W133" i="1"/>
  <c r="W12" i="1"/>
  <c r="W20" i="1"/>
  <c r="W28" i="1"/>
  <c r="W36" i="1"/>
  <c r="W44" i="1"/>
  <c r="W52" i="1"/>
  <c r="W68" i="1"/>
  <c r="W76" i="1"/>
  <c r="W84" i="1"/>
  <c r="W92" i="1"/>
  <c r="W100" i="1"/>
  <c r="W108" i="1"/>
  <c r="W116" i="1"/>
  <c r="W124" i="1"/>
  <c r="W132" i="1"/>
  <c r="W7" i="1"/>
  <c r="W50" i="1"/>
  <c r="W71" i="1"/>
  <c r="W105" i="1"/>
  <c r="W114" i="1"/>
  <c r="W135" i="1"/>
  <c r="W147" i="1"/>
  <c r="W155" i="1"/>
  <c r="W163" i="1"/>
  <c r="W171" i="1"/>
  <c r="W211" i="1"/>
  <c r="W219" i="1"/>
  <c r="W227" i="1"/>
  <c r="W235" i="1"/>
  <c r="W243" i="1"/>
  <c r="W251" i="1"/>
  <c r="W259" i="1"/>
  <c r="W267" i="1"/>
  <c r="W275" i="1"/>
  <c r="W33" i="1"/>
  <c r="W42" i="1"/>
  <c r="W63" i="1"/>
  <c r="W106" i="1"/>
  <c r="W127" i="1"/>
  <c r="W139" i="1"/>
  <c r="W144" i="1"/>
  <c r="W152" i="1"/>
  <c r="W160" i="1"/>
  <c r="W168" i="1"/>
  <c r="W176" i="1"/>
  <c r="W200" i="1"/>
  <c r="W208" i="1"/>
  <c r="W216" i="1"/>
  <c r="W224" i="1"/>
  <c r="W232" i="1"/>
  <c r="W240" i="1"/>
  <c r="W248" i="1"/>
  <c r="W256" i="1"/>
  <c r="W264" i="1"/>
  <c r="W272" i="1"/>
  <c r="W280" i="1"/>
  <c r="W25" i="1"/>
  <c r="W55" i="1"/>
  <c r="W89" i="1"/>
  <c r="W98" i="1"/>
  <c r="W141" i="1"/>
  <c r="W149" i="1"/>
  <c r="W157" i="1"/>
  <c r="W165" i="1"/>
  <c r="W173" i="1"/>
  <c r="W197" i="1"/>
  <c r="W205" i="1"/>
  <c r="W213" i="1"/>
  <c r="W221" i="1"/>
  <c r="W229" i="1"/>
  <c r="W237" i="1"/>
  <c r="W245" i="1"/>
  <c r="W253" i="1"/>
  <c r="W269" i="1"/>
  <c r="W277" i="1"/>
  <c r="W17" i="1"/>
  <c r="W26" i="1"/>
  <c r="W47" i="1"/>
  <c r="W81" i="1"/>
  <c r="W90" i="1"/>
  <c r="W111" i="1"/>
  <c r="W146" i="1"/>
  <c r="W154" i="1"/>
  <c r="W162" i="1"/>
  <c r="W170" i="1"/>
  <c r="W202" i="1"/>
  <c r="W210" i="1"/>
  <c r="W218" i="1"/>
  <c r="W226" i="1"/>
  <c r="W234" i="1"/>
  <c r="W250" i="1"/>
  <c r="W258" i="1"/>
  <c r="W266" i="1"/>
  <c r="W274" i="1"/>
  <c r="W282" i="1"/>
  <c r="W9" i="1"/>
  <c r="W18" i="1"/>
  <c r="W39" i="1"/>
  <c r="W73" i="1"/>
  <c r="W82" i="1"/>
  <c r="W103" i="1"/>
  <c r="W137" i="1"/>
  <c r="W143" i="1"/>
  <c r="W151" i="1"/>
  <c r="W159" i="1"/>
  <c r="W23" i="1"/>
  <c r="W57" i="1"/>
  <c r="W66" i="1"/>
  <c r="W87" i="1"/>
  <c r="W121" i="1"/>
  <c r="W130" i="1"/>
  <c r="W145" i="1"/>
  <c r="W161" i="1"/>
  <c r="W169" i="1"/>
  <c r="W177" i="1"/>
  <c r="W201" i="1"/>
  <c r="W209" i="1"/>
  <c r="W217" i="1"/>
  <c r="W225" i="1"/>
  <c r="W233" i="1"/>
  <c r="W241" i="1"/>
  <c r="W249" i="1"/>
  <c r="W257" i="1"/>
  <c r="W265" i="1"/>
  <c r="W273" i="1"/>
  <c r="W281" i="1"/>
  <c r="W15" i="1"/>
  <c r="W49" i="1"/>
  <c r="W150" i="1"/>
  <c r="W172" i="1"/>
  <c r="W206" i="1"/>
  <c r="W215" i="1"/>
  <c r="W236" i="1"/>
  <c r="W270" i="1"/>
  <c r="W279" i="1"/>
  <c r="W138" i="1"/>
  <c r="W164" i="1"/>
  <c r="W198" i="1"/>
  <c r="W207" i="1"/>
  <c r="W228" i="1"/>
  <c r="W262" i="1"/>
  <c r="W271" i="1"/>
  <c r="W122" i="1"/>
  <c r="W158" i="1"/>
  <c r="W199" i="1"/>
  <c r="W220" i="1"/>
  <c r="W254" i="1"/>
  <c r="W263" i="1"/>
  <c r="W74" i="1"/>
  <c r="W140" i="1"/>
  <c r="W212" i="1"/>
  <c r="W246" i="1"/>
  <c r="W255" i="1"/>
  <c r="W276" i="1"/>
  <c r="W58" i="1"/>
  <c r="W174" i="1"/>
  <c r="W204" i="1"/>
  <c r="W238" i="1"/>
  <c r="W247" i="1"/>
  <c r="W268" i="1"/>
  <c r="W10" i="1"/>
  <c r="W95" i="1"/>
  <c r="W129" i="1"/>
  <c r="W148" i="1"/>
  <c r="W175" i="1"/>
  <c r="W196" i="1"/>
  <c r="W230" i="1"/>
  <c r="W239" i="1"/>
  <c r="W260" i="1"/>
  <c r="W79" i="1"/>
  <c r="W113" i="1"/>
  <c r="W142" i="1"/>
  <c r="W167" i="1"/>
  <c r="W222" i="1"/>
  <c r="W231" i="1"/>
  <c r="W252" i="1"/>
  <c r="W31" i="1"/>
  <c r="W65" i="1"/>
  <c r="W156" i="1"/>
  <c r="W214" i="1"/>
  <c r="W223" i="1"/>
  <c r="W244" i="1"/>
  <c r="W278" i="1"/>
  <c r="W4" i="1"/>
  <c r="J7" i="1"/>
  <c r="J15" i="1"/>
  <c r="J23" i="1"/>
  <c r="J31" i="1"/>
  <c r="J39" i="1"/>
  <c r="J47" i="1"/>
  <c r="J55" i="1"/>
  <c r="J63" i="1"/>
  <c r="J71" i="1"/>
  <c r="J79" i="1"/>
  <c r="J87" i="1"/>
  <c r="J95" i="1"/>
  <c r="J103" i="1"/>
  <c r="J111" i="1"/>
  <c r="J127" i="1"/>
  <c r="J135" i="1"/>
  <c r="J143" i="1"/>
  <c r="J151" i="1"/>
  <c r="J159" i="1"/>
  <c r="J167" i="1"/>
  <c r="J175" i="1"/>
  <c r="J199" i="1"/>
  <c r="J207" i="1"/>
  <c r="J215" i="1"/>
  <c r="J223" i="1"/>
  <c r="J231" i="1"/>
  <c r="J239" i="1"/>
  <c r="J247" i="1"/>
  <c r="J255" i="1"/>
  <c r="J263" i="1"/>
  <c r="J271" i="1"/>
  <c r="J279" i="1"/>
  <c r="J24" i="1"/>
  <c r="J32" i="1"/>
  <c r="J40" i="1"/>
  <c r="J48" i="1"/>
  <c r="J56" i="1"/>
  <c r="J64" i="1"/>
  <c r="J80" i="1"/>
  <c r="J88" i="1"/>
  <c r="J104" i="1"/>
  <c r="J112" i="1"/>
  <c r="J120" i="1"/>
  <c r="J128" i="1"/>
  <c r="J136" i="1"/>
  <c r="J144" i="1"/>
  <c r="J152" i="1"/>
  <c r="J160" i="1"/>
  <c r="J168" i="1"/>
  <c r="J176" i="1"/>
  <c r="J200" i="1"/>
  <c r="J208" i="1"/>
  <c r="J216" i="1"/>
  <c r="J224" i="1"/>
  <c r="J232" i="1"/>
  <c r="J240" i="1"/>
  <c r="J248" i="1"/>
  <c r="J256" i="1"/>
  <c r="J264" i="1"/>
  <c r="J272" i="1"/>
  <c r="J280" i="1"/>
  <c r="J9" i="1"/>
  <c r="J17" i="1"/>
  <c r="J25" i="1"/>
  <c r="J33" i="1"/>
  <c r="J49" i="1"/>
  <c r="J57" i="1"/>
  <c r="J65" i="1"/>
  <c r="J73" i="1"/>
  <c r="J81" i="1"/>
  <c r="J89" i="1"/>
  <c r="J105" i="1"/>
  <c r="J113" i="1"/>
  <c r="J121" i="1"/>
  <c r="J129" i="1"/>
  <c r="J137" i="1"/>
  <c r="J145" i="1"/>
  <c r="J161" i="1"/>
  <c r="J169" i="1"/>
  <c r="J177" i="1"/>
  <c r="J201" i="1"/>
  <c r="J209" i="1"/>
  <c r="J217" i="1"/>
  <c r="J225" i="1"/>
  <c r="J233" i="1"/>
  <c r="J241" i="1"/>
  <c r="J249" i="1"/>
  <c r="J257" i="1"/>
  <c r="J265" i="1"/>
  <c r="J273" i="1"/>
  <c r="J281" i="1"/>
  <c r="J10" i="1"/>
  <c r="J18" i="1"/>
  <c r="J26" i="1"/>
  <c r="J42" i="1"/>
  <c r="J50" i="1"/>
  <c r="J58" i="1"/>
  <c r="J66" i="1"/>
  <c r="J74" i="1"/>
  <c r="J82" i="1"/>
  <c r="J90" i="1"/>
  <c r="J98" i="1"/>
  <c r="J106" i="1"/>
  <c r="J114" i="1"/>
  <c r="J122" i="1"/>
  <c r="J130" i="1"/>
  <c r="J138" i="1"/>
  <c r="J146" i="1"/>
  <c r="J154" i="1"/>
  <c r="J162" i="1"/>
  <c r="J170" i="1"/>
  <c r="J202" i="1"/>
  <c r="J210" i="1"/>
  <c r="J218" i="1"/>
  <c r="J226" i="1"/>
  <c r="J234" i="1"/>
  <c r="J250" i="1"/>
  <c r="J258" i="1"/>
  <c r="J266" i="1"/>
  <c r="J274" i="1"/>
  <c r="J282" i="1"/>
  <c r="J27" i="1"/>
  <c r="J35" i="1"/>
  <c r="J43" i="1"/>
  <c r="J51" i="1"/>
  <c r="J59" i="1"/>
  <c r="J67" i="1"/>
  <c r="J75" i="1"/>
  <c r="J91" i="1"/>
  <c r="J107" i="1"/>
  <c r="J115" i="1"/>
  <c r="J123" i="1"/>
  <c r="J131" i="1"/>
  <c r="J139" i="1"/>
  <c r="J147" i="1"/>
  <c r="J155" i="1"/>
  <c r="J163" i="1"/>
  <c r="J171" i="1"/>
  <c r="J211" i="1"/>
  <c r="J219" i="1"/>
  <c r="J227" i="1"/>
  <c r="J235" i="1"/>
  <c r="J243" i="1"/>
  <c r="J251" i="1"/>
  <c r="J259" i="1"/>
  <c r="J267" i="1"/>
  <c r="J275" i="1"/>
  <c r="J5" i="1"/>
  <c r="J12" i="1"/>
  <c r="J20" i="1"/>
  <c r="J28" i="1"/>
  <c r="J36" i="1"/>
  <c r="J44" i="1"/>
  <c r="J52" i="1"/>
  <c r="J68" i="1"/>
  <c r="J76" i="1"/>
  <c r="J84" i="1"/>
  <c r="J92" i="1"/>
  <c r="J100" i="1"/>
  <c r="J108" i="1"/>
  <c r="J116" i="1"/>
  <c r="J124" i="1"/>
  <c r="J132" i="1"/>
  <c r="J140" i="1"/>
  <c r="J148" i="1"/>
  <c r="J156" i="1"/>
  <c r="J164" i="1"/>
  <c r="J172" i="1"/>
  <c r="J196" i="1"/>
  <c r="J204" i="1"/>
  <c r="J212" i="1"/>
  <c r="J220" i="1"/>
  <c r="J228" i="1"/>
  <c r="J236" i="1"/>
  <c r="J244" i="1"/>
  <c r="J252" i="1"/>
  <c r="J260" i="1"/>
  <c r="J268" i="1"/>
  <c r="J276" i="1"/>
  <c r="J4" i="1"/>
  <c r="J21" i="1"/>
  <c r="J29" i="1"/>
  <c r="J37" i="1"/>
  <c r="J45" i="1"/>
  <c r="J53" i="1"/>
  <c r="J61" i="1"/>
  <c r="J69" i="1"/>
  <c r="J77" i="1"/>
  <c r="J85" i="1"/>
  <c r="J93" i="1"/>
  <c r="J101" i="1"/>
  <c r="J109" i="1"/>
  <c r="J117" i="1"/>
  <c r="J125" i="1"/>
  <c r="J133" i="1"/>
  <c r="J141" i="1"/>
  <c r="J149" i="1"/>
  <c r="J157" i="1"/>
  <c r="J165" i="1"/>
  <c r="J173" i="1"/>
  <c r="J197" i="1"/>
  <c r="J205" i="1"/>
  <c r="J213" i="1"/>
  <c r="J221" i="1"/>
  <c r="J229" i="1"/>
  <c r="J237" i="1"/>
  <c r="J245" i="1"/>
  <c r="J253" i="1"/>
  <c r="J269" i="1"/>
  <c r="J277" i="1"/>
  <c r="J6" i="1"/>
  <c r="J14" i="1"/>
  <c r="J22" i="1"/>
  <c r="J30" i="1"/>
  <c r="J46" i="1"/>
  <c r="J54" i="1"/>
  <c r="J62" i="1"/>
  <c r="J70" i="1"/>
  <c r="J78" i="1"/>
  <c r="J86" i="1"/>
  <c r="J94" i="1"/>
  <c r="J102" i="1"/>
  <c r="J110" i="1"/>
  <c r="J118" i="1"/>
  <c r="J126" i="1"/>
  <c r="J134" i="1"/>
  <c r="J142" i="1"/>
  <c r="J150" i="1"/>
  <c r="J158" i="1"/>
  <c r="J174" i="1"/>
  <c r="J198" i="1"/>
  <c r="J206" i="1"/>
  <c r="J214" i="1"/>
  <c r="J222" i="1"/>
  <c r="J230" i="1"/>
  <c r="J238" i="1"/>
  <c r="J246" i="1"/>
  <c r="J254" i="1"/>
  <c r="J262" i="1"/>
  <c r="J270" i="1"/>
  <c r="J278" i="1"/>
  <c r="K27" i="1"/>
  <c r="K35" i="1"/>
  <c r="K43" i="1"/>
  <c r="K51" i="1"/>
  <c r="K54" i="1"/>
  <c r="K55" i="1"/>
  <c r="K56" i="1"/>
  <c r="K57" i="1"/>
  <c r="K58" i="1"/>
  <c r="K59" i="1"/>
  <c r="K61" i="1"/>
  <c r="K62" i="1"/>
  <c r="K63" i="1"/>
  <c r="K64" i="1"/>
  <c r="K65" i="1"/>
  <c r="K66" i="1"/>
  <c r="K67" i="1"/>
  <c r="K68" i="1"/>
  <c r="K69" i="1"/>
  <c r="K70" i="1"/>
  <c r="K71" i="1"/>
  <c r="K73" i="1"/>
  <c r="K74" i="1"/>
  <c r="K75" i="1"/>
  <c r="K76" i="1"/>
  <c r="K77" i="1"/>
  <c r="K78" i="1"/>
  <c r="K79" i="1"/>
  <c r="K80" i="1"/>
  <c r="K81" i="1"/>
  <c r="K82" i="1"/>
  <c r="K6" i="1"/>
  <c r="K14" i="1"/>
  <c r="K22" i="1"/>
  <c r="K30" i="1"/>
  <c r="K46" i="1"/>
  <c r="K9" i="1"/>
  <c r="K17" i="1"/>
  <c r="K25" i="1"/>
  <c r="K33" i="1"/>
  <c r="K49" i="1"/>
  <c r="K53" i="1"/>
  <c r="K12" i="1"/>
  <c r="K20" i="1"/>
  <c r="K28" i="1"/>
  <c r="K36" i="1"/>
  <c r="K44" i="1"/>
  <c r="K7" i="1"/>
  <c r="K15" i="1"/>
  <c r="K23" i="1"/>
  <c r="K31" i="1"/>
  <c r="K39" i="1"/>
  <c r="K47" i="1"/>
  <c r="K10" i="1"/>
  <c r="K18" i="1"/>
  <c r="K26" i="1"/>
  <c r="K42" i="1"/>
  <c r="K50" i="1"/>
  <c r="K52" i="1"/>
  <c r="K5" i="1"/>
  <c r="K21" i="1"/>
  <c r="K29" i="1"/>
  <c r="K37" i="1"/>
  <c r="K45" i="1"/>
  <c r="K24" i="1"/>
  <c r="K32" i="1"/>
  <c r="K40" i="1"/>
  <c r="K48" i="1"/>
  <c r="K84" i="1"/>
  <c r="K85" i="1"/>
  <c r="K86" i="1"/>
  <c r="K87" i="1"/>
  <c r="K88" i="1"/>
  <c r="K89" i="1"/>
  <c r="K90" i="1"/>
  <c r="K91" i="1"/>
  <c r="K92" i="1"/>
  <c r="K93" i="1"/>
  <c r="K94" i="1"/>
  <c r="K95" i="1"/>
  <c r="K98" i="1"/>
  <c r="K100" i="1"/>
  <c r="K101" i="1"/>
  <c r="K102" i="1"/>
  <c r="K103" i="1"/>
  <c r="K104" i="1"/>
  <c r="K105" i="1"/>
  <c r="K106" i="1"/>
  <c r="K107" i="1"/>
  <c r="K108" i="1"/>
  <c r="K109" i="1"/>
  <c r="K110" i="1"/>
  <c r="K111" i="1"/>
  <c r="K112" i="1"/>
  <c r="K113" i="1"/>
  <c r="K114" i="1"/>
  <c r="K115" i="1"/>
  <c r="K116" i="1"/>
  <c r="K117" i="1"/>
  <c r="K118"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4" i="1"/>
  <c r="K155" i="1"/>
  <c r="K156" i="1"/>
  <c r="K157" i="1"/>
  <c r="K158" i="1"/>
  <c r="K159" i="1"/>
  <c r="K160" i="1"/>
  <c r="K161" i="1"/>
  <c r="K162" i="1"/>
  <c r="K163" i="1"/>
  <c r="K164" i="1"/>
  <c r="K165" i="1"/>
  <c r="K167" i="1"/>
  <c r="K4" i="1"/>
  <c r="K168" i="1"/>
  <c r="K169" i="1"/>
  <c r="K170" i="1"/>
  <c r="K171" i="1"/>
  <c r="K172" i="1"/>
  <c r="K173" i="1"/>
  <c r="K174" i="1"/>
  <c r="K175" i="1"/>
  <c r="K176" i="1"/>
  <c r="K177" i="1"/>
  <c r="K196" i="1"/>
  <c r="K197" i="1"/>
  <c r="K198" i="1"/>
  <c r="K199" i="1"/>
  <c r="K200" i="1"/>
  <c r="K201" i="1"/>
  <c r="K202"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3" i="1"/>
  <c r="K244" i="1"/>
  <c r="K245" i="1"/>
  <c r="K246" i="1"/>
  <c r="K247" i="1"/>
  <c r="K248" i="1"/>
  <c r="K249" i="1"/>
  <c r="K250" i="1"/>
  <c r="K251" i="1"/>
  <c r="K252" i="1"/>
  <c r="K253" i="1"/>
  <c r="K254" i="1"/>
  <c r="K255" i="1"/>
  <c r="K256" i="1"/>
  <c r="K257" i="1"/>
  <c r="K258" i="1"/>
  <c r="K259" i="1"/>
  <c r="K260" i="1"/>
  <c r="K262" i="1"/>
  <c r="K263" i="1"/>
  <c r="K264" i="1"/>
  <c r="K265" i="1"/>
  <c r="K266" i="1"/>
  <c r="K267" i="1"/>
  <c r="K268" i="1"/>
  <c r="K269" i="1"/>
  <c r="K270" i="1"/>
  <c r="K271" i="1"/>
  <c r="K272" i="1"/>
  <c r="K273" i="1"/>
  <c r="K274" i="1"/>
  <c r="K275" i="1"/>
  <c r="K276" i="1"/>
  <c r="K277" i="1"/>
  <c r="K278" i="1"/>
  <c r="K279" i="1"/>
  <c r="K280" i="1"/>
  <c r="K281" i="1"/>
  <c r="K282" i="1"/>
  <c r="S10" i="1"/>
  <c r="S18" i="1"/>
  <c r="S26" i="1"/>
  <c r="S42" i="1"/>
  <c r="S50" i="1"/>
  <c r="S58" i="1"/>
  <c r="S66" i="1"/>
  <c r="S74" i="1"/>
  <c r="S82" i="1"/>
  <c r="S90" i="1"/>
  <c r="S98" i="1"/>
  <c r="S106" i="1"/>
  <c r="S114" i="1"/>
  <c r="S122" i="1"/>
  <c r="S130" i="1"/>
  <c r="S138" i="1"/>
  <c r="S7" i="1"/>
  <c r="S15" i="1"/>
  <c r="S23" i="1"/>
  <c r="S31" i="1"/>
  <c r="S39" i="1"/>
  <c r="S47" i="1"/>
  <c r="S55" i="1"/>
  <c r="S63" i="1"/>
  <c r="S71" i="1"/>
  <c r="S79" i="1"/>
  <c r="S87" i="1"/>
  <c r="S95" i="1"/>
  <c r="S103" i="1"/>
  <c r="S111" i="1"/>
  <c r="S127" i="1"/>
  <c r="S135" i="1"/>
  <c r="S12" i="1"/>
  <c r="S20" i="1"/>
  <c r="S28" i="1"/>
  <c r="S36" i="1"/>
  <c r="S44" i="1"/>
  <c r="S52" i="1"/>
  <c r="S68" i="1"/>
  <c r="S76" i="1"/>
  <c r="S84" i="1"/>
  <c r="S92" i="1"/>
  <c r="S100" i="1"/>
  <c r="S108" i="1"/>
  <c r="S116" i="1"/>
  <c r="S124" i="1"/>
  <c r="S132" i="1"/>
  <c r="S9" i="1"/>
  <c r="S17" i="1"/>
  <c r="S25" i="1"/>
  <c r="S33" i="1"/>
  <c r="S49" i="1"/>
  <c r="S57" i="1"/>
  <c r="S65" i="1"/>
  <c r="S73" i="1"/>
  <c r="S81" i="1"/>
  <c r="S89" i="1"/>
  <c r="S105" i="1"/>
  <c r="S113" i="1"/>
  <c r="S121" i="1"/>
  <c r="S129" i="1"/>
  <c r="S137" i="1"/>
  <c r="S24" i="1"/>
  <c r="S32" i="1"/>
  <c r="S40" i="1"/>
  <c r="S48" i="1"/>
  <c r="S56" i="1"/>
  <c r="S64" i="1"/>
  <c r="S80" i="1"/>
  <c r="S88" i="1"/>
  <c r="S104" i="1"/>
  <c r="S112" i="1"/>
  <c r="S120" i="1"/>
  <c r="S128" i="1"/>
  <c r="S136" i="1"/>
  <c r="S29" i="1"/>
  <c r="S59" i="1"/>
  <c r="S93" i="1"/>
  <c r="S102" i="1"/>
  <c r="S123" i="1"/>
  <c r="S143" i="1"/>
  <c r="S151" i="1"/>
  <c r="S159" i="1"/>
  <c r="S167" i="1"/>
  <c r="S175" i="1"/>
  <c r="S199" i="1"/>
  <c r="S207" i="1"/>
  <c r="S215" i="1"/>
  <c r="S223" i="1"/>
  <c r="S231" i="1"/>
  <c r="S239" i="1"/>
  <c r="S247" i="1"/>
  <c r="S255" i="1"/>
  <c r="S263" i="1"/>
  <c r="S271" i="1"/>
  <c r="S279" i="1"/>
  <c r="S21" i="1"/>
  <c r="S30" i="1"/>
  <c r="S51" i="1"/>
  <c r="S85" i="1"/>
  <c r="S94" i="1"/>
  <c r="S115" i="1"/>
  <c r="S148" i="1"/>
  <c r="S156" i="1"/>
  <c r="S164" i="1"/>
  <c r="S172" i="1"/>
  <c r="S196" i="1"/>
  <c r="S204" i="1"/>
  <c r="S212" i="1"/>
  <c r="S220" i="1"/>
  <c r="S228" i="1"/>
  <c r="S236" i="1"/>
  <c r="S244" i="1"/>
  <c r="S252" i="1"/>
  <c r="S260" i="1"/>
  <c r="S268" i="1"/>
  <c r="S276" i="1"/>
  <c r="S22" i="1"/>
  <c r="S43" i="1"/>
  <c r="S77" i="1"/>
  <c r="S86" i="1"/>
  <c r="S107" i="1"/>
  <c r="S140" i="1"/>
  <c r="S145" i="1"/>
  <c r="S161" i="1"/>
  <c r="S169" i="1"/>
  <c r="S177" i="1"/>
  <c r="S201" i="1"/>
  <c r="S209" i="1"/>
  <c r="S217" i="1"/>
  <c r="S225" i="1"/>
  <c r="S233" i="1"/>
  <c r="S241" i="1"/>
  <c r="S249" i="1"/>
  <c r="S257" i="1"/>
  <c r="S265" i="1"/>
  <c r="S273" i="1"/>
  <c r="S281" i="1"/>
  <c r="S5" i="1"/>
  <c r="S14" i="1"/>
  <c r="S35" i="1"/>
  <c r="S69" i="1"/>
  <c r="S78" i="1"/>
  <c r="S133" i="1"/>
  <c r="S142" i="1"/>
  <c r="S150" i="1"/>
  <c r="S158" i="1"/>
  <c r="S174" i="1"/>
  <c r="S198" i="1"/>
  <c r="S206" i="1"/>
  <c r="S214" i="1"/>
  <c r="S222" i="1"/>
  <c r="S230" i="1"/>
  <c r="S238" i="1"/>
  <c r="S246" i="1"/>
  <c r="S254" i="1"/>
  <c r="S262" i="1"/>
  <c r="S270" i="1"/>
  <c r="S278" i="1"/>
  <c r="S6" i="1"/>
  <c r="S27" i="1"/>
  <c r="S61" i="1"/>
  <c r="S70" i="1"/>
  <c r="S91" i="1"/>
  <c r="S125" i="1"/>
  <c r="S134" i="1"/>
  <c r="S147" i="1"/>
  <c r="S155" i="1"/>
  <c r="S163" i="1"/>
  <c r="S45" i="1"/>
  <c r="S54" i="1"/>
  <c r="S75" i="1"/>
  <c r="S109" i="1"/>
  <c r="S118" i="1"/>
  <c r="S139" i="1"/>
  <c r="S141" i="1"/>
  <c r="S149" i="1"/>
  <c r="S157" i="1"/>
  <c r="S165" i="1"/>
  <c r="S173" i="1"/>
  <c r="S197" i="1"/>
  <c r="S205" i="1"/>
  <c r="S213" i="1"/>
  <c r="S221" i="1"/>
  <c r="S229" i="1"/>
  <c r="S237" i="1"/>
  <c r="S245" i="1"/>
  <c r="S253" i="1"/>
  <c r="S269" i="1"/>
  <c r="S277" i="1"/>
  <c r="S67" i="1"/>
  <c r="S101" i="1"/>
  <c r="S224" i="1"/>
  <c r="S258" i="1"/>
  <c r="S267" i="1"/>
  <c r="S53" i="1"/>
  <c r="S152" i="1"/>
  <c r="S216" i="1"/>
  <c r="S250" i="1"/>
  <c r="S259" i="1"/>
  <c r="S280" i="1"/>
  <c r="S37" i="1"/>
  <c r="S146" i="1"/>
  <c r="S208" i="1"/>
  <c r="S251" i="1"/>
  <c r="S272" i="1"/>
  <c r="S126" i="1"/>
  <c r="S160" i="1"/>
  <c r="S170" i="1"/>
  <c r="S200" i="1"/>
  <c r="S234" i="1"/>
  <c r="S243" i="1"/>
  <c r="S264" i="1"/>
  <c r="S110" i="1"/>
  <c r="S154" i="1"/>
  <c r="S171" i="1"/>
  <c r="S226" i="1"/>
  <c r="S235" i="1"/>
  <c r="S256" i="1"/>
  <c r="S62" i="1"/>
  <c r="S218" i="1"/>
  <c r="S227" i="1"/>
  <c r="S248" i="1"/>
  <c r="S282" i="1"/>
  <c r="S46" i="1"/>
  <c r="S131" i="1"/>
  <c r="S162" i="1"/>
  <c r="S176" i="1"/>
  <c r="S210" i="1"/>
  <c r="S219" i="1"/>
  <c r="S240" i="1"/>
  <c r="S274" i="1"/>
  <c r="S117" i="1"/>
  <c r="S144" i="1"/>
  <c r="S168" i="1"/>
  <c r="S202" i="1"/>
  <c r="S211" i="1"/>
  <c r="S232" i="1"/>
  <c r="S266" i="1"/>
  <c r="S275" i="1"/>
  <c r="S4" i="1"/>
  <c r="U24" i="1"/>
  <c r="U32" i="1"/>
  <c r="U40" i="1"/>
  <c r="U48" i="1"/>
  <c r="U56" i="1"/>
  <c r="U64" i="1"/>
  <c r="U80" i="1"/>
  <c r="U88" i="1"/>
  <c r="U104" i="1"/>
  <c r="U112" i="1"/>
  <c r="U120" i="1"/>
  <c r="U128" i="1"/>
  <c r="U136" i="1"/>
  <c r="U5" i="1"/>
  <c r="U21" i="1"/>
  <c r="U29" i="1"/>
  <c r="U37" i="1"/>
  <c r="U45" i="1"/>
  <c r="U53" i="1"/>
  <c r="U61" i="1"/>
  <c r="U69" i="1"/>
  <c r="U77" i="1"/>
  <c r="U85" i="1"/>
  <c r="U93" i="1"/>
  <c r="U101" i="1"/>
  <c r="U109" i="1"/>
  <c r="U117" i="1"/>
  <c r="U125" i="1"/>
  <c r="U133" i="1"/>
  <c r="U10" i="1"/>
  <c r="U18" i="1"/>
  <c r="U26" i="1"/>
  <c r="U42" i="1"/>
  <c r="U50" i="1"/>
  <c r="U58" i="1"/>
  <c r="U66" i="1"/>
  <c r="U74" i="1"/>
  <c r="U82" i="1"/>
  <c r="U90" i="1"/>
  <c r="U98" i="1"/>
  <c r="U106" i="1"/>
  <c r="U114" i="1"/>
  <c r="U122" i="1"/>
  <c r="U130" i="1"/>
  <c r="U138" i="1"/>
  <c r="U7" i="1"/>
  <c r="U15" i="1"/>
  <c r="U23" i="1"/>
  <c r="U31" i="1"/>
  <c r="U39" i="1"/>
  <c r="U47" i="1"/>
  <c r="U55" i="1"/>
  <c r="U63" i="1"/>
  <c r="U71" i="1"/>
  <c r="U79" i="1"/>
  <c r="U87" i="1"/>
  <c r="U95" i="1"/>
  <c r="U103" i="1"/>
  <c r="U111" i="1"/>
  <c r="U127" i="1"/>
  <c r="U135" i="1"/>
  <c r="U6" i="1"/>
  <c r="U14" i="1"/>
  <c r="U22" i="1"/>
  <c r="U30" i="1"/>
  <c r="U46" i="1"/>
  <c r="U54" i="1"/>
  <c r="U62" i="1"/>
  <c r="U70" i="1"/>
  <c r="U78" i="1"/>
  <c r="U86" i="1"/>
  <c r="U94" i="1"/>
  <c r="U102" i="1"/>
  <c r="U110" i="1"/>
  <c r="U118" i="1"/>
  <c r="U126" i="1"/>
  <c r="U134" i="1"/>
  <c r="U12" i="1"/>
  <c r="U33" i="1"/>
  <c r="U67" i="1"/>
  <c r="U76" i="1"/>
  <c r="U131" i="1"/>
  <c r="U141" i="1"/>
  <c r="U149" i="1"/>
  <c r="U157" i="1"/>
  <c r="U165" i="1"/>
  <c r="U173" i="1"/>
  <c r="U197" i="1"/>
  <c r="U205" i="1"/>
  <c r="U213" i="1"/>
  <c r="U221" i="1"/>
  <c r="U229" i="1"/>
  <c r="U237" i="1"/>
  <c r="U245" i="1"/>
  <c r="U253" i="1"/>
  <c r="U269" i="1"/>
  <c r="U277" i="1"/>
  <c r="U25" i="1"/>
  <c r="U59" i="1"/>
  <c r="U68" i="1"/>
  <c r="U89" i="1"/>
  <c r="U123" i="1"/>
  <c r="U132" i="1"/>
  <c r="U146" i="1"/>
  <c r="U154" i="1"/>
  <c r="U162" i="1"/>
  <c r="U170" i="1"/>
  <c r="U202" i="1"/>
  <c r="U210" i="1"/>
  <c r="U218" i="1"/>
  <c r="U226" i="1"/>
  <c r="U234" i="1"/>
  <c r="U250" i="1"/>
  <c r="U258" i="1"/>
  <c r="U266" i="1"/>
  <c r="U274" i="1"/>
  <c r="U282" i="1"/>
  <c r="U17" i="1"/>
  <c r="U51" i="1"/>
  <c r="U81" i="1"/>
  <c r="U115" i="1"/>
  <c r="U124" i="1"/>
  <c r="U143" i="1"/>
  <c r="U151" i="1"/>
  <c r="U159" i="1"/>
  <c r="U167" i="1"/>
  <c r="U175" i="1"/>
  <c r="U199" i="1"/>
  <c r="U207" i="1"/>
  <c r="U215" i="1"/>
  <c r="U223" i="1"/>
  <c r="U231" i="1"/>
  <c r="U239" i="1"/>
  <c r="U247" i="1"/>
  <c r="U255" i="1"/>
  <c r="U263" i="1"/>
  <c r="U271" i="1"/>
  <c r="U279" i="1"/>
  <c r="U9" i="1"/>
  <c r="U43" i="1"/>
  <c r="U52" i="1"/>
  <c r="U73" i="1"/>
  <c r="U107" i="1"/>
  <c r="U116" i="1"/>
  <c r="U137" i="1"/>
  <c r="U140" i="1"/>
  <c r="U148" i="1"/>
  <c r="U156" i="1"/>
  <c r="U164" i="1"/>
  <c r="U172" i="1"/>
  <c r="U196" i="1"/>
  <c r="U204" i="1"/>
  <c r="U212" i="1"/>
  <c r="U220" i="1"/>
  <c r="U228" i="1"/>
  <c r="U236" i="1"/>
  <c r="U244" i="1"/>
  <c r="U252" i="1"/>
  <c r="U260" i="1"/>
  <c r="U268" i="1"/>
  <c r="U276" i="1"/>
  <c r="U35" i="1"/>
  <c r="U44" i="1"/>
  <c r="U65" i="1"/>
  <c r="U108" i="1"/>
  <c r="U129" i="1"/>
  <c r="U145" i="1"/>
  <c r="U161" i="1"/>
  <c r="U28" i="1"/>
  <c r="U49" i="1"/>
  <c r="U92" i="1"/>
  <c r="U113" i="1"/>
  <c r="U147" i="1"/>
  <c r="U155" i="1"/>
  <c r="U163" i="1"/>
  <c r="U171" i="1"/>
  <c r="U211" i="1"/>
  <c r="U219" i="1"/>
  <c r="U227" i="1"/>
  <c r="U235" i="1"/>
  <c r="U243" i="1"/>
  <c r="U251" i="1"/>
  <c r="U259" i="1"/>
  <c r="U267" i="1"/>
  <c r="U275" i="1"/>
  <c r="U84" i="1"/>
  <c r="U144" i="1"/>
  <c r="U168" i="1"/>
  <c r="U177" i="1"/>
  <c r="U198" i="1"/>
  <c r="U232" i="1"/>
  <c r="U241" i="1"/>
  <c r="U262" i="1"/>
  <c r="U36" i="1"/>
  <c r="U121" i="1"/>
  <c r="U158" i="1"/>
  <c r="U169" i="1"/>
  <c r="U224" i="1"/>
  <c r="U233" i="1"/>
  <c r="U254" i="1"/>
  <c r="U20" i="1"/>
  <c r="U105" i="1"/>
  <c r="U139" i="1"/>
  <c r="U152" i="1"/>
  <c r="U216" i="1"/>
  <c r="U225" i="1"/>
  <c r="U246" i="1"/>
  <c r="U280" i="1"/>
  <c r="U57" i="1"/>
  <c r="U91" i="1"/>
  <c r="U174" i="1"/>
  <c r="U208" i="1"/>
  <c r="U217" i="1"/>
  <c r="U238" i="1"/>
  <c r="U272" i="1"/>
  <c r="U281" i="1"/>
  <c r="U75" i="1"/>
  <c r="U160" i="1"/>
  <c r="U200" i="1"/>
  <c r="U209" i="1"/>
  <c r="U230" i="1"/>
  <c r="U264" i="1"/>
  <c r="U273" i="1"/>
  <c r="U27" i="1"/>
  <c r="U142" i="1"/>
  <c r="U201" i="1"/>
  <c r="U222" i="1"/>
  <c r="U256" i="1"/>
  <c r="U265" i="1"/>
  <c r="U214" i="1"/>
  <c r="U248" i="1"/>
  <c r="U257" i="1"/>
  <c r="U278" i="1"/>
  <c r="U100" i="1"/>
  <c r="U150" i="1"/>
  <c r="U176" i="1"/>
  <c r="U206" i="1"/>
  <c r="U240" i="1"/>
  <c r="U249" i="1"/>
  <c r="U270" i="1"/>
  <c r="U4" i="1"/>
  <c r="Q5" i="1"/>
  <c r="Q6" i="1"/>
  <c r="Q7" i="1"/>
  <c r="Q9" i="1"/>
  <c r="Q10" i="1"/>
  <c r="Q12" i="1"/>
  <c r="Q14" i="1"/>
  <c r="Q15" i="1"/>
  <c r="Q17" i="1"/>
  <c r="Q18" i="1"/>
  <c r="Q20" i="1"/>
  <c r="Q21" i="1"/>
  <c r="Q22" i="1"/>
  <c r="Q23" i="1"/>
  <c r="Q24" i="1"/>
  <c r="Q25" i="1"/>
  <c r="Q26" i="1"/>
  <c r="Q27" i="1"/>
  <c r="Q28" i="1"/>
  <c r="Q29" i="1"/>
  <c r="Q30" i="1"/>
  <c r="Q31" i="1"/>
  <c r="Q32" i="1"/>
  <c r="Q33" i="1"/>
  <c r="Q35" i="1"/>
  <c r="Q36" i="1"/>
  <c r="Q37" i="1"/>
  <c r="Q39" i="1"/>
  <c r="Q40" i="1"/>
  <c r="Q42" i="1"/>
  <c r="Q43" i="1"/>
  <c r="Q44" i="1"/>
  <c r="Q45" i="1"/>
  <c r="Q46" i="1"/>
  <c r="Q47" i="1"/>
  <c r="Q48" i="1"/>
  <c r="Q49" i="1"/>
  <c r="Q50" i="1"/>
  <c r="Q51" i="1"/>
  <c r="Q52" i="1"/>
  <c r="Q53" i="1"/>
  <c r="Q54" i="1"/>
  <c r="Q55" i="1"/>
  <c r="Q56" i="1"/>
  <c r="Q57" i="1"/>
  <c r="Q58" i="1"/>
  <c r="Q59" i="1"/>
  <c r="Q61" i="1"/>
  <c r="Q62" i="1"/>
  <c r="Q63" i="1"/>
  <c r="Q64" i="1"/>
  <c r="Q65" i="1"/>
  <c r="Q66" i="1"/>
  <c r="Q67" i="1"/>
  <c r="Q68" i="1"/>
  <c r="Q69" i="1"/>
  <c r="Q70" i="1"/>
  <c r="Q71" i="1"/>
  <c r="Q73" i="1"/>
  <c r="Q74" i="1"/>
  <c r="Q75" i="1"/>
  <c r="Q76" i="1"/>
  <c r="Q77" i="1"/>
  <c r="Q78" i="1"/>
  <c r="Q79" i="1"/>
  <c r="Q80" i="1"/>
  <c r="Q84" i="1"/>
  <c r="Q85" i="1"/>
  <c r="Q86" i="1"/>
  <c r="Q87" i="1"/>
  <c r="Q88" i="1"/>
  <c r="Q89" i="1"/>
  <c r="Q90" i="1"/>
  <c r="Q91" i="1"/>
  <c r="Q92" i="1"/>
  <c r="Q93" i="1"/>
  <c r="Q94" i="1"/>
  <c r="Q95" i="1"/>
  <c r="Q98" i="1"/>
  <c r="Q100" i="1"/>
  <c r="Q101" i="1"/>
  <c r="Q102" i="1"/>
  <c r="Q103" i="1"/>
  <c r="Q104" i="1"/>
  <c r="Q105" i="1"/>
  <c r="Q106" i="1"/>
  <c r="Q107" i="1"/>
  <c r="Q108" i="1"/>
  <c r="Q109" i="1"/>
  <c r="Q110" i="1"/>
  <c r="Q111" i="1"/>
  <c r="Q112" i="1"/>
  <c r="Q113" i="1"/>
  <c r="Q114" i="1"/>
  <c r="Q115" i="1"/>
  <c r="Q116" i="1"/>
  <c r="Q117" i="1"/>
  <c r="Q118"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4" i="1"/>
  <c r="Q155" i="1"/>
  <c r="Q156" i="1"/>
  <c r="Q157" i="1"/>
  <c r="Q158" i="1"/>
  <c r="Q159" i="1"/>
  <c r="Q160" i="1"/>
  <c r="Q161" i="1"/>
  <c r="Q162" i="1"/>
  <c r="Q163" i="1"/>
  <c r="Q164" i="1"/>
  <c r="Q165" i="1"/>
  <c r="Q167" i="1"/>
  <c r="Q82" i="1"/>
  <c r="Q81" i="1"/>
  <c r="Q4" i="1"/>
  <c r="Q168" i="1"/>
  <c r="Q169" i="1"/>
  <c r="Q170" i="1"/>
  <c r="Q171" i="1"/>
  <c r="Q172" i="1"/>
  <c r="Q173" i="1"/>
  <c r="Q174" i="1"/>
  <c r="Q175" i="1"/>
  <c r="Q176" i="1"/>
  <c r="Q177" i="1"/>
  <c r="Q196" i="1"/>
  <c r="Q197" i="1"/>
  <c r="Q198" i="1"/>
  <c r="Q199" i="1"/>
  <c r="Q200" i="1"/>
  <c r="Q201" i="1"/>
  <c r="Q202"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3" i="1"/>
  <c r="Q244" i="1"/>
  <c r="Q245" i="1"/>
  <c r="Q246" i="1"/>
  <c r="Q247" i="1"/>
  <c r="Q248" i="1"/>
  <c r="Q249" i="1"/>
  <c r="Q250" i="1"/>
  <c r="Q251" i="1"/>
  <c r="Q252" i="1"/>
  <c r="Q253" i="1"/>
  <c r="Q254" i="1"/>
  <c r="Q255" i="1"/>
  <c r="Q256" i="1"/>
  <c r="Q257" i="1"/>
  <c r="Q258" i="1"/>
  <c r="Q259" i="1"/>
  <c r="Q260" i="1"/>
  <c r="Q262" i="1"/>
  <c r="Q263" i="1"/>
  <c r="Q264" i="1"/>
  <c r="Q265" i="1"/>
  <c r="Q266" i="1"/>
  <c r="Q267" i="1"/>
  <c r="Q268" i="1"/>
  <c r="Q269" i="1"/>
  <c r="Q270" i="1"/>
  <c r="Q271" i="1"/>
  <c r="Q272" i="1"/>
  <c r="Q273" i="1"/>
  <c r="Q274" i="1"/>
  <c r="Q275" i="1"/>
  <c r="Q276" i="1"/>
  <c r="Q277" i="1"/>
  <c r="Q278" i="1"/>
  <c r="Q279" i="1"/>
  <c r="Q280" i="1"/>
  <c r="Q281" i="1"/>
  <c r="Q282" i="1"/>
  <c r="M5" i="1"/>
  <c r="M6" i="1"/>
  <c r="M7" i="1"/>
  <c r="M9" i="1"/>
  <c r="M10" i="1"/>
  <c r="M12" i="1"/>
  <c r="M14" i="1"/>
  <c r="M15" i="1"/>
  <c r="M17" i="1"/>
  <c r="M18" i="1"/>
  <c r="M20" i="1"/>
  <c r="M21" i="1"/>
  <c r="M22" i="1"/>
  <c r="M23" i="1"/>
  <c r="M24" i="1"/>
  <c r="M25" i="1"/>
  <c r="M26" i="1"/>
  <c r="M27" i="1"/>
  <c r="M28" i="1"/>
  <c r="M29" i="1"/>
  <c r="M30" i="1"/>
  <c r="M31" i="1"/>
  <c r="M32" i="1"/>
  <c r="M33" i="1"/>
  <c r="M35" i="1"/>
  <c r="M36" i="1"/>
  <c r="M37" i="1"/>
  <c r="M39" i="1"/>
  <c r="M40" i="1"/>
  <c r="M42" i="1"/>
  <c r="M43" i="1"/>
  <c r="M44" i="1"/>
  <c r="M45" i="1"/>
  <c r="M46" i="1"/>
  <c r="M47" i="1"/>
  <c r="M48" i="1"/>
  <c r="M49" i="1"/>
  <c r="M50" i="1"/>
  <c r="M51" i="1"/>
  <c r="M54" i="1"/>
  <c r="M55" i="1"/>
  <c r="M56" i="1"/>
  <c r="M57" i="1"/>
  <c r="M58" i="1"/>
  <c r="M59" i="1"/>
  <c r="M61" i="1"/>
  <c r="M62" i="1"/>
  <c r="M63" i="1"/>
  <c r="M64" i="1"/>
  <c r="M65" i="1"/>
  <c r="M66" i="1"/>
  <c r="M67" i="1"/>
  <c r="M68" i="1"/>
  <c r="M69" i="1"/>
  <c r="M70" i="1"/>
  <c r="M71" i="1"/>
  <c r="M73" i="1"/>
  <c r="M74" i="1"/>
  <c r="M75" i="1"/>
  <c r="M76" i="1"/>
  <c r="M77" i="1"/>
  <c r="M78" i="1"/>
  <c r="M79" i="1"/>
  <c r="M80" i="1"/>
  <c r="M53" i="1"/>
  <c r="M52" i="1"/>
  <c r="M81" i="1"/>
  <c r="M84" i="1"/>
  <c r="M85" i="1"/>
  <c r="M86" i="1"/>
  <c r="M87" i="1"/>
  <c r="M88" i="1"/>
  <c r="M89" i="1"/>
  <c r="M90" i="1"/>
  <c r="M91" i="1"/>
  <c r="M92" i="1"/>
  <c r="M93" i="1"/>
  <c r="M94" i="1"/>
  <c r="M95" i="1"/>
  <c r="M98" i="1"/>
  <c r="M100" i="1"/>
  <c r="M101" i="1"/>
  <c r="M102" i="1"/>
  <c r="M103" i="1"/>
  <c r="M104" i="1"/>
  <c r="M105" i="1"/>
  <c r="M106" i="1"/>
  <c r="M107" i="1"/>
  <c r="M108" i="1"/>
  <c r="M109" i="1"/>
  <c r="M110" i="1"/>
  <c r="M111" i="1"/>
  <c r="M112" i="1"/>
  <c r="M113" i="1"/>
  <c r="M114" i="1"/>
  <c r="M115" i="1"/>
  <c r="M116" i="1"/>
  <c r="M117" i="1"/>
  <c r="M118"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4" i="1"/>
  <c r="M155" i="1"/>
  <c r="M156" i="1"/>
  <c r="M157" i="1"/>
  <c r="M158" i="1"/>
  <c r="M159" i="1"/>
  <c r="M160" i="1"/>
  <c r="M161" i="1"/>
  <c r="M162" i="1"/>
  <c r="M163" i="1"/>
  <c r="M164" i="1"/>
  <c r="M165" i="1"/>
  <c r="M167" i="1"/>
  <c r="M82" i="1"/>
  <c r="M4" i="1"/>
  <c r="M168" i="1"/>
  <c r="M169" i="1"/>
  <c r="M170" i="1"/>
  <c r="M171" i="1"/>
  <c r="M172" i="1"/>
  <c r="M173" i="1"/>
  <c r="M174" i="1"/>
  <c r="M175" i="1"/>
  <c r="M176" i="1"/>
  <c r="M177" i="1"/>
  <c r="M196" i="1"/>
  <c r="M197" i="1"/>
  <c r="M198" i="1"/>
  <c r="M199" i="1"/>
  <c r="M200" i="1"/>
  <c r="M201" i="1"/>
  <c r="M202"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3" i="1"/>
  <c r="M244" i="1"/>
  <c r="M245" i="1"/>
  <c r="M246" i="1"/>
  <c r="M247" i="1"/>
  <c r="M248" i="1"/>
  <c r="M249" i="1"/>
  <c r="M250" i="1"/>
  <c r="M251" i="1"/>
  <c r="M252" i="1"/>
  <c r="M253" i="1"/>
  <c r="M254" i="1"/>
  <c r="M255" i="1"/>
  <c r="M256" i="1"/>
  <c r="M257" i="1"/>
  <c r="M258" i="1"/>
  <c r="M259" i="1"/>
  <c r="M260" i="1"/>
  <c r="M262" i="1"/>
  <c r="M263" i="1"/>
  <c r="M264" i="1"/>
  <c r="M265" i="1"/>
  <c r="M266" i="1"/>
  <c r="M267" i="1"/>
  <c r="M268" i="1"/>
  <c r="M269" i="1"/>
  <c r="M270" i="1"/>
  <c r="M271" i="1"/>
  <c r="M272" i="1"/>
  <c r="M273" i="1"/>
  <c r="M274" i="1"/>
  <c r="M275" i="1"/>
  <c r="M276" i="1"/>
  <c r="M277" i="1"/>
  <c r="M278" i="1"/>
  <c r="M279" i="1"/>
  <c r="M280" i="1"/>
  <c r="M281" i="1"/>
  <c r="M282" i="1"/>
  <c r="F38" i="10"/>
  <c r="F166" i="10"/>
  <c r="S41" i="2"/>
  <c r="F41" i="10" s="1"/>
  <c r="S97" i="2"/>
  <c r="F97" i="10" s="1"/>
  <c r="S153" i="2"/>
  <c r="F153" i="10" s="1"/>
  <c r="S16" i="2"/>
  <c r="F16" i="10" s="1"/>
  <c r="F72" i="10"/>
  <c r="F60" i="10"/>
  <c r="F119" i="10"/>
  <c r="S8" i="2"/>
  <c r="F8" i="10" s="1"/>
  <c r="S178" i="2"/>
  <c r="F178" i="10" s="1"/>
  <c r="F242" i="10"/>
  <c r="F13" i="10"/>
  <c r="F262" i="10"/>
  <c r="F96" i="10"/>
  <c r="S19" i="2"/>
  <c r="F19" i="10" s="1"/>
  <c r="F83" i="10"/>
  <c r="F99" i="10"/>
  <c r="S195" i="2"/>
  <c r="F195" i="10" s="1"/>
  <c r="F203" i="10"/>
  <c r="Z193" i="1" l="1"/>
  <c r="Z182" i="1"/>
  <c r="E182" i="10" s="1"/>
  <c r="Z189" i="1"/>
  <c r="Z190" i="1"/>
  <c r="E190" i="10" s="1"/>
  <c r="Z188" i="1"/>
  <c r="E188" i="10" s="1"/>
  <c r="Z179" i="1"/>
  <c r="E179" i="10" s="1"/>
  <c r="Z185" i="1"/>
  <c r="Z194" i="1"/>
  <c r="E194" i="10" s="1"/>
  <c r="Z180" i="1"/>
  <c r="E180" i="10" s="1"/>
  <c r="Z186" i="1"/>
  <c r="Z181" i="1"/>
  <c r="E181" i="10" s="1"/>
  <c r="Z192" i="1"/>
  <c r="E192" i="10" s="1"/>
  <c r="Z187" i="1"/>
  <c r="Z184" i="1"/>
  <c r="Z183" i="1"/>
  <c r="Z191" i="1"/>
  <c r="E9" i="24"/>
  <c r="E23" i="24" s="1"/>
  <c r="N20" i="8"/>
  <c r="N13" i="8" s="1"/>
  <c r="N14" i="8" s="1"/>
  <c r="P283" i="1" s="1"/>
  <c r="L9" i="24" s="1"/>
  <c r="L23" i="24" s="1"/>
  <c r="S20" i="8"/>
  <c r="S13" i="8" s="1"/>
  <c r="S14" i="8" s="1"/>
  <c r="U283" i="1" s="1"/>
  <c r="Q9" i="24" s="1"/>
  <c r="Q23" i="24" s="1"/>
  <c r="P20" i="8"/>
  <c r="P13" i="8" s="1"/>
  <c r="P14" i="8" s="1"/>
  <c r="R283" i="1" s="1"/>
  <c r="N9" i="24" s="1"/>
  <c r="N23" i="24" s="1"/>
  <c r="Q20" i="8"/>
  <c r="Q13" i="8" s="1"/>
  <c r="Q14" i="8" s="1"/>
  <c r="S283" i="1" s="1"/>
  <c r="O9" i="24" s="1"/>
  <c r="O23" i="24" s="1"/>
  <c r="H20" i="8"/>
  <c r="H13" i="8" s="1"/>
  <c r="H14" i="8" s="1"/>
  <c r="O20" i="8"/>
  <c r="O13" i="8" s="1"/>
  <c r="O14" i="8" s="1"/>
  <c r="Q283" i="1" s="1"/>
  <c r="M9" i="24" s="1"/>
  <c r="M23" i="24" s="1"/>
  <c r="T20" i="8"/>
  <c r="T13" i="8" s="1"/>
  <c r="T14" i="8" s="1"/>
  <c r="V283" i="1" s="1"/>
  <c r="R9" i="24" s="1"/>
  <c r="R23" i="24" s="1"/>
  <c r="M20" i="8"/>
  <c r="M13" i="8" s="1"/>
  <c r="M14" i="8" s="1"/>
  <c r="O283" i="1" s="1"/>
  <c r="K9" i="24" s="1"/>
  <c r="K23" i="24" s="1"/>
  <c r="U20" i="8"/>
  <c r="U13" i="8" s="1"/>
  <c r="U14" i="8" s="1"/>
  <c r="W283" i="1" s="1"/>
  <c r="S9" i="24" s="1"/>
  <c r="S23" i="24" s="1"/>
  <c r="L20" i="8"/>
  <c r="L13" i="8" s="1"/>
  <c r="L14" i="8" s="1"/>
  <c r="N283" i="1" s="1"/>
  <c r="J9" i="24" s="1"/>
  <c r="J23" i="24" s="1"/>
  <c r="K20" i="8"/>
  <c r="K13" i="8" s="1"/>
  <c r="K14" i="8" s="1"/>
  <c r="M283" i="1" s="1"/>
  <c r="I9" i="24" s="1"/>
  <c r="I23" i="24" s="1"/>
  <c r="I20" i="8"/>
  <c r="I13" i="8" s="1"/>
  <c r="I14" i="8" s="1"/>
  <c r="K283" i="1" s="1"/>
  <c r="G9" i="24" s="1"/>
  <c r="G23" i="24" s="1"/>
  <c r="Z77" i="1"/>
  <c r="E77" i="10" s="1"/>
  <c r="E242" i="10"/>
  <c r="S242" i="10" s="1"/>
  <c r="Z35" i="1"/>
  <c r="E35" i="10" s="1"/>
  <c r="Z266" i="1"/>
  <c r="E267" i="10" s="1"/>
  <c r="Z247" i="1"/>
  <c r="E247" i="10" s="1"/>
  <c r="Z239" i="1"/>
  <c r="E239" i="10" s="1"/>
  <c r="E183" i="10"/>
  <c r="Z175" i="1"/>
  <c r="E175" i="10" s="1"/>
  <c r="Z146" i="1"/>
  <c r="E146" i="10" s="1"/>
  <c r="Z130" i="1"/>
  <c r="E130" i="10" s="1"/>
  <c r="Z122" i="1"/>
  <c r="E122" i="10" s="1"/>
  <c r="Z24" i="1"/>
  <c r="E24" i="10" s="1"/>
  <c r="Z206" i="1"/>
  <c r="E206" i="10" s="1"/>
  <c r="E166" i="10"/>
  <c r="S166" i="10" s="1"/>
  <c r="Z10" i="1"/>
  <c r="E10" i="10" s="1"/>
  <c r="Z279" i="1"/>
  <c r="E280" i="10" s="1"/>
  <c r="E191" i="10"/>
  <c r="Z138" i="1"/>
  <c r="E138" i="10" s="1"/>
  <c r="Z106" i="1"/>
  <c r="E106" i="10" s="1"/>
  <c r="Z90" i="1"/>
  <c r="E90" i="10" s="1"/>
  <c r="Z58" i="1"/>
  <c r="E58" i="10" s="1"/>
  <c r="Z40" i="1"/>
  <c r="E40" i="10" s="1"/>
  <c r="Z23" i="1"/>
  <c r="E23" i="10" s="1"/>
  <c r="Z209" i="1"/>
  <c r="E209" i="10" s="1"/>
  <c r="Z137" i="1"/>
  <c r="E137" i="10" s="1"/>
  <c r="Z219" i="1"/>
  <c r="E219" i="10" s="1"/>
  <c r="Z78" i="1"/>
  <c r="E78" i="10" s="1"/>
  <c r="E96" i="10"/>
  <c r="S96" i="10" s="1"/>
  <c r="Z202" i="1"/>
  <c r="E202" i="10" s="1"/>
  <c r="Z101" i="1"/>
  <c r="E101" i="10" s="1"/>
  <c r="Z85" i="1"/>
  <c r="E85" i="10" s="1"/>
  <c r="Z69" i="1"/>
  <c r="E69" i="10" s="1"/>
  <c r="Z61" i="1"/>
  <c r="E61" i="10" s="1"/>
  <c r="Z19" i="1"/>
  <c r="E19" i="10" s="1"/>
  <c r="S19" i="10" s="1"/>
  <c r="Z281" i="1"/>
  <c r="E282" i="10" s="1"/>
  <c r="Z50" i="1"/>
  <c r="E50" i="10" s="1"/>
  <c r="Z42" i="1"/>
  <c r="E42" i="10" s="1"/>
  <c r="Z262" i="1"/>
  <c r="E263" i="10" s="1"/>
  <c r="Z198" i="1"/>
  <c r="E198" i="10" s="1"/>
  <c r="Z134" i="1"/>
  <c r="E134" i="10" s="1"/>
  <c r="Z70" i="1"/>
  <c r="E70" i="10" s="1"/>
  <c r="Z221" i="1"/>
  <c r="E221" i="10" s="1"/>
  <c r="Z29" i="1"/>
  <c r="E29" i="10" s="1"/>
  <c r="Z244" i="1"/>
  <c r="E244" i="10" s="1"/>
  <c r="Z52" i="1"/>
  <c r="E52" i="10" s="1"/>
  <c r="Z267" i="1"/>
  <c r="E268" i="10" s="1"/>
  <c r="E203" i="10"/>
  <c r="S203" i="10" s="1"/>
  <c r="Z75" i="1"/>
  <c r="E75" i="10" s="1"/>
  <c r="Z11" i="1"/>
  <c r="E11" i="10" s="1"/>
  <c r="Z162" i="1"/>
  <c r="E162" i="10" s="1"/>
  <c r="Z98" i="1"/>
  <c r="E98" i="10" s="1"/>
  <c r="Z57" i="1"/>
  <c r="E57" i="10" s="1"/>
  <c r="Z144" i="1"/>
  <c r="E144" i="10" s="1"/>
  <c r="Z80" i="1"/>
  <c r="E80" i="10" s="1"/>
  <c r="Z16" i="1"/>
  <c r="E16" i="10" s="1"/>
  <c r="S16" i="10" s="1"/>
  <c r="Z238" i="1"/>
  <c r="E238" i="10" s="1"/>
  <c r="Z282" i="1"/>
  <c r="E283" i="10" s="1"/>
  <c r="Z218" i="1"/>
  <c r="E218" i="10" s="1"/>
  <c r="Z165" i="1"/>
  <c r="E165" i="10" s="1"/>
  <c r="Z117" i="1"/>
  <c r="E117" i="10" s="1"/>
  <c r="Z51" i="1"/>
  <c r="E51" i="10" s="1"/>
  <c r="Z155" i="1"/>
  <c r="E155" i="10" s="1"/>
  <c r="Z114" i="1"/>
  <c r="E114" i="10" s="1"/>
  <c r="Z256" i="1"/>
  <c r="E257" i="10" s="1"/>
  <c r="Z232" i="1"/>
  <c r="E232" i="10" s="1"/>
  <c r="Z216" i="1"/>
  <c r="E216" i="10" s="1"/>
  <c r="Z200" i="1"/>
  <c r="E200" i="10" s="1"/>
  <c r="Z145" i="1"/>
  <c r="E145" i="10" s="1"/>
  <c r="Z89" i="1"/>
  <c r="E89" i="10" s="1"/>
  <c r="Z44" i="1"/>
  <c r="E44" i="10" s="1"/>
  <c r="Z131" i="1"/>
  <c r="E131" i="10" s="1"/>
  <c r="Z220" i="1"/>
  <c r="E220" i="10" s="1"/>
  <c r="Z150" i="1"/>
  <c r="E150" i="10" s="1"/>
  <c r="Z73" i="1"/>
  <c r="E73" i="10" s="1"/>
  <c r="Z234" i="1"/>
  <c r="E234" i="10" s="1"/>
  <c r="Z210" i="1"/>
  <c r="E210" i="10" s="1"/>
  <c r="E186" i="10"/>
  <c r="Z109" i="1"/>
  <c r="E109" i="10" s="1"/>
  <c r="Z43" i="1"/>
  <c r="E43" i="10" s="1"/>
  <c r="Z147" i="1"/>
  <c r="E147" i="10" s="1"/>
  <c r="Z251" i="1"/>
  <c r="E252" i="10" s="1"/>
  <c r="Z157" i="1"/>
  <c r="E157" i="10" s="1"/>
  <c r="Z93" i="1"/>
  <c r="E93" i="10" s="1"/>
  <c r="Z139" i="1"/>
  <c r="E139" i="10" s="1"/>
  <c r="Z226" i="1"/>
  <c r="E226" i="10" s="1"/>
  <c r="Z249" i="1"/>
  <c r="E250" i="10" s="1"/>
  <c r="E185" i="10"/>
  <c r="Z121" i="1"/>
  <c r="E121" i="10" s="1"/>
  <c r="Z272" i="1"/>
  <c r="E273" i="10" s="1"/>
  <c r="Z208" i="1"/>
  <c r="E208" i="10" s="1"/>
  <c r="Z103" i="1"/>
  <c r="E103" i="10" s="1"/>
  <c r="Z176" i="1"/>
  <c r="E176" i="10" s="1"/>
  <c r="Z48" i="1"/>
  <c r="E48" i="10" s="1"/>
  <c r="Z76" i="1"/>
  <c r="E76" i="10" s="1"/>
  <c r="Z271" i="1"/>
  <c r="E272" i="10" s="1"/>
  <c r="Z263" i="1"/>
  <c r="E264" i="10" s="1"/>
  <c r="Z215" i="1"/>
  <c r="E215" i="10" s="1"/>
  <c r="Z207" i="1"/>
  <c r="E207" i="10" s="1"/>
  <c r="Z199" i="1"/>
  <c r="E199" i="10" s="1"/>
  <c r="S199" i="10" s="1"/>
  <c r="Z160" i="1"/>
  <c r="E160" i="10" s="1"/>
  <c r="Z254" i="1"/>
  <c r="E255" i="10" s="1"/>
  <c r="Z213" i="1"/>
  <c r="E213" i="10" s="1"/>
  <c r="Z149" i="1"/>
  <c r="E149" i="10" s="1"/>
  <c r="Z236" i="1"/>
  <c r="E236" i="10" s="1"/>
  <c r="Z108" i="1"/>
  <c r="E108" i="10" s="1"/>
  <c r="Z259" i="1"/>
  <c r="E260" i="10" s="1"/>
  <c r="Z195" i="1"/>
  <c r="E195" i="10" s="1"/>
  <c r="S195" i="10" s="1"/>
  <c r="Z67" i="1"/>
  <c r="E67" i="10" s="1"/>
  <c r="Z154" i="1"/>
  <c r="E154" i="10" s="1"/>
  <c r="Z26" i="1"/>
  <c r="E26" i="10" s="1"/>
  <c r="Z113" i="1"/>
  <c r="E113" i="10" s="1"/>
  <c r="Z8" i="1"/>
  <c r="E8" i="10" s="1"/>
  <c r="S8" i="10" s="1"/>
  <c r="Z223" i="1"/>
  <c r="E223" i="10" s="1"/>
  <c r="Z6" i="1"/>
  <c r="E6" i="10" s="1"/>
  <c r="Z34" i="1"/>
  <c r="E34" i="10" s="1"/>
  <c r="Z231" i="1"/>
  <c r="E231" i="10" s="1"/>
  <c r="Z39" i="1"/>
  <c r="E39" i="10" s="1"/>
  <c r="Z156" i="1"/>
  <c r="E156" i="10" s="1"/>
  <c r="Z84" i="1"/>
  <c r="E84" i="10" s="1"/>
  <c r="Z28" i="1"/>
  <c r="E28" i="10" s="1"/>
  <c r="Z4" i="1"/>
  <c r="E4" i="10" s="1"/>
  <c r="Z273" i="1"/>
  <c r="E274" i="10" s="1"/>
  <c r="Z265" i="1"/>
  <c r="E266" i="10" s="1"/>
  <c r="Z257" i="1"/>
  <c r="E258" i="10" s="1"/>
  <c r="Z241" i="1"/>
  <c r="E241" i="10" s="1"/>
  <c r="Z217" i="1"/>
  <c r="E217" i="10" s="1"/>
  <c r="Z201" i="1"/>
  <c r="E201" i="10" s="1"/>
  <c r="E193" i="10"/>
  <c r="Z177" i="1"/>
  <c r="E177" i="10" s="1"/>
  <c r="Z169" i="1"/>
  <c r="E169" i="10" s="1"/>
  <c r="Z140" i="1"/>
  <c r="E140" i="10" s="1"/>
  <c r="Z100" i="1"/>
  <c r="E100" i="10" s="1"/>
  <c r="Z280" i="1"/>
  <c r="E281" i="10" s="1"/>
  <c r="Z264" i="1"/>
  <c r="E265" i="10" s="1"/>
  <c r="Z248" i="1"/>
  <c r="E248" i="10" s="1"/>
  <c r="Z240" i="1"/>
  <c r="E240" i="10" s="1"/>
  <c r="Z224" i="1"/>
  <c r="E224" i="10" s="1"/>
  <c r="Z168" i="1"/>
  <c r="E168" i="10" s="1"/>
  <c r="Z163" i="1"/>
  <c r="E163" i="10" s="1"/>
  <c r="Z107" i="1"/>
  <c r="E107" i="10" s="1"/>
  <c r="Z91" i="1"/>
  <c r="E91" i="10" s="1"/>
  <c r="E41" i="10"/>
  <c r="S41" i="10" s="1"/>
  <c r="Z33" i="1"/>
  <c r="E33" i="10" s="1"/>
  <c r="Z25" i="1"/>
  <c r="E25" i="10" s="1"/>
  <c r="Z17" i="1"/>
  <c r="E17" i="10" s="1"/>
  <c r="Z49" i="1"/>
  <c r="E49" i="10" s="1"/>
  <c r="E99" i="10"/>
  <c r="S99" i="10" s="1"/>
  <c r="Z255" i="1"/>
  <c r="E256" i="10" s="1"/>
  <c r="Z110" i="1"/>
  <c r="E110" i="10" s="1"/>
  <c r="Z81" i="1"/>
  <c r="E81" i="10" s="1"/>
  <c r="Z278" i="1"/>
  <c r="E279" i="10" s="1"/>
  <c r="Z270" i="1"/>
  <c r="E271" i="10" s="1"/>
  <c r="Z246" i="1"/>
  <c r="E246" i="10" s="1"/>
  <c r="Z230" i="1"/>
  <c r="E230" i="10" s="1"/>
  <c r="Z222" i="1"/>
  <c r="E222" i="10" s="1"/>
  <c r="Z214" i="1"/>
  <c r="E214" i="10" s="1"/>
  <c r="Z159" i="1"/>
  <c r="E159" i="10" s="1"/>
  <c r="Z151" i="1"/>
  <c r="E151" i="10" s="1"/>
  <c r="Z143" i="1"/>
  <c r="E143" i="10" s="1"/>
  <c r="Z135" i="1"/>
  <c r="E135" i="10" s="1"/>
  <c r="Z127" i="1"/>
  <c r="E127" i="10" s="1"/>
  <c r="E119" i="10"/>
  <c r="S119" i="10" s="1"/>
  <c r="Z87" i="1"/>
  <c r="E87" i="10" s="1"/>
  <c r="Z20" i="1"/>
  <c r="E20" i="10" s="1"/>
  <c r="Z9" i="1"/>
  <c r="E9" i="10" s="1"/>
  <c r="Z82" i="1"/>
  <c r="E82" i="10" s="1"/>
  <c r="Z66" i="1"/>
  <c r="E66" i="10" s="1"/>
  <c r="Z27" i="1"/>
  <c r="E27" i="10" s="1"/>
  <c r="Z269" i="1"/>
  <c r="E270" i="10" s="1"/>
  <c r="Z141" i="1"/>
  <c r="E141" i="10" s="1"/>
  <c r="E187" i="10"/>
  <c r="Z123" i="1"/>
  <c r="E123" i="10" s="1"/>
  <c r="Z59" i="1"/>
  <c r="E59" i="10" s="1"/>
  <c r="Z274" i="1"/>
  <c r="E275" i="10" s="1"/>
  <c r="Z18" i="1"/>
  <c r="E18" i="10" s="1"/>
  <c r="Z233" i="1"/>
  <c r="E233" i="10" s="1"/>
  <c r="Z225" i="1"/>
  <c r="E225" i="10" s="1"/>
  <c r="Z161" i="1"/>
  <c r="E161" i="10" s="1"/>
  <c r="Z153" i="1"/>
  <c r="E153" i="10" s="1"/>
  <c r="S153" i="10" s="1"/>
  <c r="Z105" i="1"/>
  <c r="E105" i="10" s="1"/>
  <c r="Z97" i="1"/>
  <c r="E97" i="10" s="1"/>
  <c r="S97" i="10" s="1"/>
  <c r="Z47" i="1"/>
  <c r="E47" i="10" s="1"/>
  <c r="Z15" i="1"/>
  <c r="E15" i="10" s="1"/>
  <c r="Z7" i="1"/>
  <c r="E7" i="10" s="1"/>
  <c r="Z64" i="1"/>
  <c r="E64" i="10" s="1"/>
  <c r="Z102" i="1"/>
  <c r="E102" i="10" s="1"/>
  <c r="Z125" i="1"/>
  <c r="E125" i="10" s="1"/>
  <c r="Z148" i="1"/>
  <c r="E148" i="10" s="1"/>
  <c r="Z258" i="1"/>
  <c r="E259" i="10" s="1"/>
  <c r="Z112" i="1"/>
  <c r="E112" i="10" s="1"/>
  <c r="Z116" i="1"/>
  <c r="E116" i="10" s="1"/>
  <c r="Z32" i="1"/>
  <c r="E32" i="10" s="1"/>
  <c r="Z197" i="1"/>
  <c r="E197" i="10" s="1"/>
  <c r="E189" i="10"/>
  <c r="Z174" i="1"/>
  <c r="E174" i="10" s="1"/>
  <c r="Z133" i="1"/>
  <c r="E133" i="10" s="1"/>
  <c r="Z243" i="1"/>
  <c r="E243" i="10" s="1"/>
  <c r="E184" i="10"/>
  <c r="Z277" i="1"/>
  <c r="E278" i="10" s="1"/>
  <c r="Z253" i="1"/>
  <c r="E254" i="10" s="1"/>
  <c r="Z245" i="1"/>
  <c r="E245" i="10" s="1"/>
  <c r="Z229" i="1"/>
  <c r="E229" i="10" s="1"/>
  <c r="Z173" i="1"/>
  <c r="E173" i="10" s="1"/>
  <c r="E83" i="10"/>
  <c r="S83" i="10" s="1"/>
  <c r="Z152" i="1"/>
  <c r="E152" i="10" s="1"/>
  <c r="Z136" i="1"/>
  <c r="E136" i="10" s="1"/>
  <c r="Z128" i="1"/>
  <c r="E128" i="10" s="1"/>
  <c r="Z120" i="1"/>
  <c r="E120" i="10" s="1"/>
  <c r="Z88" i="1"/>
  <c r="E88" i="10" s="1"/>
  <c r="E72" i="10"/>
  <c r="S72" i="10" s="1"/>
  <c r="Z56" i="1"/>
  <c r="E56" i="10" s="1"/>
  <c r="Z46" i="1"/>
  <c r="E46" i="10" s="1"/>
  <c r="E38" i="10"/>
  <c r="S38" i="10" s="1"/>
  <c r="Z30" i="1"/>
  <c r="E30" i="10" s="1"/>
  <c r="Z22" i="1"/>
  <c r="E22" i="10" s="1"/>
  <c r="Z228" i="1"/>
  <c r="E228" i="10" s="1"/>
  <c r="Z167" i="1"/>
  <c r="E167" i="10" s="1"/>
  <c r="Z111" i="1"/>
  <c r="E111" i="10" s="1"/>
  <c r="Z95" i="1"/>
  <c r="E95" i="10" s="1"/>
  <c r="Z235" i="1"/>
  <c r="E235" i="10" s="1"/>
  <c r="Z171" i="1"/>
  <c r="E171" i="10" s="1"/>
  <c r="Z164" i="1"/>
  <c r="E164" i="10" s="1"/>
  <c r="Z132" i="1"/>
  <c r="E132" i="10" s="1"/>
  <c r="Z124" i="1"/>
  <c r="E124" i="10" s="1"/>
  <c r="Z55" i="1"/>
  <c r="E55" i="10" s="1"/>
  <c r="Z94" i="1"/>
  <c r="E94" i="10" s="1"/>
  <c r="Z53" i="1"/>
  <c r="E53" i="10" s="1"/>
  <c r="Z268" i="1"/>
  <c r="E269" i="10" s="1"/>
  <c r="Z204" i="1"/>
  <c r="E204" i="10" s="1"/>
  <c r="Z250" i="1"/>
  <c r="E251" i="10" s="1"/>
  <c r="Z104" i="1"/>
  <c r="E104" i="10" s="1"/>
  <c r="Z63" i="1"/>
  <c r="E63" i="10" s="1"/>
  <c r="Z276" i="1"/>
  <c r="E277" i="10" s="1"/>
  <c r="Z260" i="1"/>
  <c r="E261" i="10" s="1"/>
  <c r="Z212" i="1"/>
  <c r="E212" i="10" s="1"/>
  <c r="Z196" i="1"/>
  <c r="E196" i="10" s="1"/>
  <c r="Z172" i="1"/>
  <c r="E172" i="10" s="1"/>
  <c r="Z79" i="1"/>
  <c r="E79" i="10" s="1"/>
  <c r="Z71" i="1"/>
  <c r="E71" i="10" s="1"/>
  <c r="Z45" i="1"/>
  <c r="E45" i="10" s="1"/>
  <c r="Z37" i="1"/>
  <c r="E37" i="10" s="1"/>
  <c r="Z21" i="1"/>
  <c r="E21" i="10" s="1"/>
  <c r="E13" i="10"/>
  <c r="S13" i="10" s="1"/>
  <c r="Z126" i="1"/>
  <c r="E126" i="10" s="1"/>
  <c r="Z12" i="1"/>
  <c r="E12" i="10" s="1"/>
  <c r="Z115" i="1"/>
  <c r="E115" i="10" s="1"/>
  <c r="Z86" i="1"/>
  <c r="E86" i="10" s="1"/>
  <c r="Z237" i="1"/>
  <c r="E237" i="10" s="1"/>
  <c r="Z68" i="1"/>
  <c r="E68" i="10" s="1"/>
  <c r="Z5" i="1"/>
  <c r="E5" i="10" s="1"/>
  <c r="Z178" i="1"/>
  <c r="E178" i="10" s="1"/>
  <c r="S178" i="10" s="1"/>
  <c r="Z205" i="1"/>
  <c r="E205" i="10" s="1"/>
  <c r="Z31" i="1"/>
  <c r="E31" i="10" s="1"/>
  <c r="E262" i="10"/>
  <c r="S262" i="10" s="1"/>
  <c r="Z74" i="1"/>
  <c r="E74" i="10" s="1"/>
  <c r="Z275" i="1"/>
  <c r="E276" i="10" s="1"/>
  <c r="Z227" i="1"/>
  <c r="E227" i="10" s="1"/>
  <c r="Z211" i="1"/>
  <c r="E211" i="10" s="1"/>
  <c r="Z158" i="1"/>
  <c r="E158" i="10" s="1"/>
  <c r="Z142" i="1"/>
  <c r="E142" i="10" s="1"/>
  <c r="Z118" i="1"/>
  <c r="E118" i="10" s="1"/>
  <c r="Z62" i="1"/>
  <c r="E62" i="10" s="1"/>
  <c r="Z54" i="1"/>
  <c r="E54" i="10" s="1"/>
  <c r="Z36" i="1"/>
  <c r="E36" i="10" s="1"/>
  <c r="Z14" i="1"/>
  <c r="E14" i="10" s="1"/>
  <c r="Z252" i="1"/>
  <c r="E253" i="10" s="1"/>
  <c r="E60" i="10"/>
  <c r="S60" i="10" s="1"/>
  <c r="Z170" i="1"/>
  <c r="E170" i="10" s="1"/>
  <c r="Z129" i="1"/>
  <c r="E129" i="10" s="1"/>
  <c r="Z65" i="1"/>
  <c r="E65" i="10" s="1"/>
  <c r="Z92" i="1"/>
  <c r="E92" i="10" s="1"/>
  <c r="I22" i="11"/>
  <c r="K199" i="2" s="1"/>
  <c r="S199" i="2" s="1"/>
  <c r="F199" i="10" s="1"/>
  <c r="K67" i="2" l="1"/>
  <c r="S67" i="2" s="1"/>
  <c r="F67" i="10" s="1"/>
  <c r="S67" i="10" s="1"/>
  <c r="K137" i="2"/>
  <c r="S137" i="2" s="1"/>
  <c r="F137" i="10" s="1"/>
  <c r="S137" i="10" s="1"/>
  <c r="K208" i="2"/>
  <c r="S208" i="2" s="1"/>
  <c r="F208" i="10" s="1"/>
  <c r="S208" i="10" s="1"/>
  <c r="K113" i="2"/>
  <c r="S113" i="2" s="1"/>
  <c r="F113" i="10" s="1"/>
  <c r="S113" i="10" s="1"/>
  <c r="K174" i="2"/>
  <c r="S174" i="2" s="1"/>
  <c r="F174" i="10" s="1"/>
  <c r="S174" i="10" s="1"/>
  <c r="K155" i="2"/>
  <c r="S155" i="2" s="1"/>
  <c r="F155" i="10" s="1"/>
  <c r="S155" i="10" s="1"/>
  <c r="K276" i="2"/>
  <c r="S276" i="2" s="1"/>
  <c r="F277" i="10" s="1"/>
  <c r="S277" i="10" s="1"/>
  <c r="K124" i="2"/>
  <c r="S124" i="2" s="1"/>
  <c r="F124" i="10" s="1"/>
  <c r="S124" i="10" s="1"/>
  <c r="K13" i="2"/>
  <c r="K201" i="2"/>
  <c r="S201" i="2" s="1"/>
  <c r="F201" i="10" s="1"/>
  <c r="S201" i="10" s="1"/>
  <c r="K212" i="2"/>
  <c r="S212" i="2" s="1"/>
  <c r="F212" i="10" s="1"/>
  <c r="S212" i="10" s="1"/>
  <c r="K25" i="2"/>
  <c r="S25" i="2" s="1"/>
  <c r="F25" i="10" s="1"/>
  <c r="S25" i="10" s="1"/>
  <c r="K90" i="2"/>
  <c r="S90" i="2" s="1"/>
  <c r="F90" i="10" s="1"/>
  <c r="S90" i="10" s="1"/>
  <c r="K80" i="2"/>
  <c r="S80" i="2" s="1"/>
  <c r="F80" i="10" s="1"/>
  <c r="S80" i="10" s="1"/>
  <c r="K198" i="2"/>
  <c r="S198" i="2" s="1"/>
  <c r="F198" i="10" s="1"/>
  <c r="S198" i="10" s="1"/>
  <c r="K264" i="2"/>
  <c r="S264" i="2" s="1"/>
  <c r="F265" i="10" s="1"/>
  <c r="S265" i="10" s="1"/>
  <c r="K122" i="2"/>
  <c r="S122" i="2" s="1"/>
  <c r="F122" i="10" s="1"/>
  <c r="S122" i="10" s="1"/>
  <c r="K57" i="2"/>
  <c r="S57" i="2" s="1"/>
  <c r="F57" i="10" s="1"/>
  <c r="S57" i="10" s="1"/>
  <c r="K103" i="2"/>
  <c r="S103" i="2" s="1"/>
  <c r="F103" i="10" s="1"/>
  <c r="S103" i="10" s="1"/>
  <c r="K149" i="2"/>
  <c r="S149" i="2" s="1"/>
  <c r="F149" i="10" s="1"/>
  <c r="S149" i="10" s="1"/>
  <c r="K181" i="2"/>
  <c r="S181" i="2" s="1"/>
  <c r="F181" i="10" s="1"/>
  <c r="S181" i="10" s="1"/>
  <c r="K224" i="2"/>
  <c r="S224" i="2" s="1"/>
  <c r="F224" i="10" s="1"/>
  <c r="S224" i="10" s="1"/>
  <c r="K189" i="2"/>
  <c r="S189" i="2" s="1"/>
  <c r="F189" i="10" s="1"/>
  <c r="S189" i="10" s="1"/>
  <c r="K24" i="2"/>
  <c r="S24" i="2" s="1"/>
  <c r="F24" i="10" s="1"/>
  <c r="S24" i="10" s="1"/>
  <c r="K186" i="2"/>
  <c r="S186" i="2" s="1"/>
  <c r="F186" i="10" s="1"/>
  <c r="S186" i="10" s="1"/>
  <c r="K51" i="2"/>
  <c r="S51" i="2" s="1"/>
  <c r="F51" i="10" s="1"/>
  <c r="S51" i="10" s="1"/>
  <c r="K33" i="2"/>
  <c r="S33" i="2" s="1"/>
  <c r="F33" i="10" s="1"/>
  <c r="S33" i="10" s="1"/>
  <c r="K43" i="2"/>
  <c r="S43" i="2" s="1"/>
  <c r="F43" i="10" s="1"/>
  <c r="S43" i="10" s="1"/>
  <c r="K50" i="2"/>
  <c r="S50" i="2" s="1"/>
  <c r="F50" i="10" s="1"/>
  <c r="S50" i="10" s="1"/>
  <c r="K20" i="2"/>
  <c r="S20" i="2" s="1"/>
  <c r="F20" i="10" s="1"/>
  <c r="S20" i="10" s="1"/>
  <c r="K203" i="2"/>
  <c r="K255" i="2"/>
  <c r="S255" i="2" s="1"/>
  <c r="F256" i="10" s="1"/>
  <c r="S256" i="10" s="1"/>
  <c r="K106" i="2"/>
  <c r="S106" i="2" s="1"/>
  <c r="F106" i="10" s="1"/>
  <c r="S106" i="10" s="1"/>
  <c r="K38" i="2"/>
  <c r="K141" i="2"/>
  <c r="S141" i="2" s="1"/>
  <c r="F141" i="10" s="1"/>
  <c r="S141" i="10" s="1"/>
  <c r="K136" i="2"/>
  <c r="S136" i="2" s="1"/>
  <c r="F136" i="10" s="1"/>
  <c r="S136" i="10" s="1"/>
  <c r="K100" i="2"/>
  <c r="S100" i="2" s="1"/>
  <c r="F100" i="10" s="1"/>
  <c r="S100" i="10" s="1"/>
  <c r="K266" i="2"/>
  <c r="S266" i="2" s="1"/>
  <c r="F267" i="10" s="1"/>
  <c r="S267" i="10" s="1"/>
  <c r="K127" i="2"/>
  <c r="S127" i="2" s="1"/>
  <c r="F127" i="10" s="1"/>
  <c r="S127" i="10" s="1"/>
  <c r="K219" i="2"/>
  <c r="S219" i="2" s="1"/>
  <c r="F219" i="10" s="1"/>
  <c r="S219" i="10" s="1"/>
  <c r="K182" i="2"/>
  <c r="S182" i="2" s="1"/>
  <c r="F182" i="10" s="1"/>
  <c r="S182" i="10" s="1"/>
  <c r="K145" i="2"/>
  <c r="S145" i="2" s="1"/>
  <c r="F145" i="10" s="1"/>
  <c r="S145" i="10" s="1"/>
  <c r="K114" i="2"/>
  <c r="S114" i="2" s="1"/>
  <c r="F114" i="10" s="1"/>
  <c r="S114" i="10" s="1"/>
  <c r="K85" i="2"/>
  <c r="S85" i="2" s="1"/>
  <c r="F85" i="10" s="1"/>
  <c r="S85" i="10" s="1"/>
  <c r="K272" i="2"/>
  <c r="S272" i="2" s="1"/>
  <c r="F273" i="10" s="1"/>
  <c r="S273" i="10" s="1"/>
  <c r="K139" i="2"/>
  <c r="S139" i="2" s="1"/>
  <c r="F139" i="10" s="1"/>
  <c r="S139" i="10" s="1"/>
  <c r="K69" i="2"/>
  <c r="S69" i="2" s="1"/>
  <c r="F69" i="10" s="1"/>
  <c r="S69" i="10" s="1"/>
  <c r="K47" i="2"/>
  <c r="S47" i="2" s="1"/>
  <c r="F47" i="10" s="1"/>
  <c r="S47" i="10" s="1"/>
  <c r="K96" i="2"/>
  <c r="K62" i="2"/>
  <c r="S62" i="2" s="1"/>
  <c r="F62" i="10" s="1"/>
  <c r="S62" i="10" s="1"/>
  <c r="K59" i="2"/>
  <c r="S59" i="2" s="1"/>
  <c r="F59" i="10" s="1"/>
  <c r="S59" i="10" s="1"/>
  <c r="K252" i="2"/>
  <c r="S252" i="2" s="1"/>
  <c r="F253" i="10" s="1"/>
  <c r="S253" i="10" s="1"/>
  <c r="K269" i="2"/>
  <c r="S269" i="2" s="1"/>
  <c r="F270" i="10" s="1"/>
  <c r="S270" i="10" s="1"/>
  <c r="K40" i="2"/>
  <c r="S40" i="2" s="1"/>
  <c r="F40" i="10" s="1"/>
  <c r="S40" i="10" s="1"/>
  <c r="J283" i="1"/>
  <c r="X14" i="8"/>
  <c r="E249" i="10" s="1"/>
  <c r="S249" i="10" s="1"/>
  <c r="K87" i="2"/>
  <c r="S87" i="2" s="1"/>
  <c r="F87" i="10" s="1"/>
  <c r="S87" i="10" s="1"/>
  <c r="K119" i="2"/>
  <c r="K110" i="2"/>
  <c r="S110" i="2" s="1"/>
  <c r="F110" i="10" s="1"/>
  <c r="S110" i="10" s="1"/>
  <c r="K132" i="2"/>
  <c r="S132" i="2" s="1"/>
  <c r="F132" i="10" s="1"/>
  <c r="S132" i="10" s="1"/>
  <c r="K128" i="2"/>
  <c r="S128" i="2" s="1"/>
  <c r="F128" i="10" s="1"/>
  <c r="S128" i="10" s="1"/>
  <c r="K52" i="2"/>
  <c r="S52" i="2" s="1"/>
  <c r="F52" i="10" s="1"/>
  <c r="S52" i="10" s="1"/>
  <c r="K218" i="2"/>
  <c r="S218" i="2" s="1"/>
  <c r="F218" i="10" s="1"/>
  <c r="S218" i="10" s="1"/>
  <c r="K220" i="2"/>
  <c r="S220" i="2" s="1"/>
  <c r="F220" i="10" s="1"/>
  <c r="S220" i="10" s="1"/>
  <c r="K93" i="2"/>
  <c r="S93" i="2" s="1"/>
  <c r="F93" i="10" s="1"/>
  <c r="S93" i="10" s="1"/>
  <c r="K61" i="2"/>
  <c r="S61" i="2" s="1"/>
  <c r="F61" i="10" s="1"/>
  <c r="S61" i="10" s="1"/>
  <c r="K95" i="2"/>
  <c r="S95" i="2" s="1"/>
  <c r="F95" i="10" s="1"/>
  <c r="S95" i="10" s="1"/>
  <c r="K36" i="2"/>
  <c r="S36" i="2" s="1"/>
  <c r="F36" i="10" s="1"/>
  <c r="S36" i="10" s="1"/>
  <c r="K150" i="2"/>
  <c r="S150" i="2" s="1"/>
  <c r="F150" i="10" s="1"/>
  <c r="S150" i="10" s="1"/>
  <c r="K42" i="2"/>
  <c r="S42" i="2" s="1"/>
  <c r="F42" i="10" s="1"/>
  <c r="S42" i="10" s="1"/>
  <c r="K164" i="2"/>
  <c r="S164" i="2" s="1"/>
  <c r="F164" i="10" s="1"/>
  <c r="S164" i="10" s="1"/>
  <c r="K115" i="2"/>
  <c r="S115" i="2" s="1"/>
  <c r="F115" i="10" s="1"/>
  <c r="S115" i="10" s="1"/>
  <c r="K68" i="2"/>
  <c r="S68" i="2" s="1"/>
  <c r="F68" i="10" s="1"/>
  <c r="S68" i="10" s="1"/>
  <c r="K211" i="2"/>
  <c r="S211" i="2" s="1"/>
  <c r="F211" i="10" s="1"/>
  <c r="S211" i="10" s="1"/>
  <c r="K251" i="2"/>
  <c r="S251" i="2" s="1"/>
  <c r="F252" i="10" s="1"/>
  <c r="S252" i="10" s="1"/>
  <c r="K130" i="2"/>
  <c r="S130" i="2" s="1"/>
  <c r="F130" i="10" s="1"/>
  <c r="S130" i="10" s="1"/>
  <c r="K75" i="2"/>
  <c r="S75" i="2" s="1"/>
  <c r="F75" i="10" s="1"/>
  <c r="S75" i="10" s="1"/>
  <c r="K157" i="2"/>
  <c r="S157" i="2" s="1"/>
  <c r="F157" i="10" s="1"/>
  <c r="S157" i="10" s="1"/>
  <c r="K89" i="2"/>
  <c r="S89" i="2" s="1"/>
  <c r="F89" i="10" s="1"/>
  <c r="S89" i="10" s="1"/>
  <c r="K73" i="2"/>
  <c r="S73" i="2" s="1"/>
  <c r="F73" i="10" s="1"/>
  <c r="S73" i="10" s="1"/>
  <c r="K280" i="2"/>
  <c r="S280" i="2" s="1"/>
  <c r="F281" i="10" s="1"/>
  <c r="S281" i="10" s="1"/>
  <c r="K248" i="2"/>
  <c r="S248" i="2" s="1"/>
  <c r="F248" i="10" s="1"/>
  <c r="S248" i="10" s="1"/>
  <c r="K151" i="2"/>
  <c r="S151" i="2" s="1"/>
  <c r="F151" i="10" s="1"/>
  <c r="S151" i="10" s="1"/>
  <c r="K210" i="2"/>
  <c r="S210" i="2" s="1"/>
  <c r="F210" i="10" s="1"/>
  <c r="S210" i="10" s="1"/>
  <c r="K138" i="2"/>
  <c r="S138" i="2" s="1"/>
  <c r="F138" i="10" s="1"/>
  <c r="S138" i="10" s="1"/>
  <c r="K131" i="2"/>
  <c r="S131" i="2" s="1"/>
  <c r="F131" i="10" s="1"/>
  <c r="S131" i="10" s="1"/>
  <c r="K134" i="2"/>
  <c r="S134" i="2" s="1"/>
  <c r="F134" i="10" s="1"/>
  <c r="S134" i="10" s="1"/>
  <c r="K262" i="2"/>
  <c r="S262" i="2" s="1"/>
  <c r="F263" i="10" s="1"/>
  <c r="S263" i="10" s="1"/>
  <c r="K187" i="2"/>
  <c r="S187" i="2" s="1"/>
  <c r="F187" i="10" s="1"/>
  <c r="S187" i="10" s="1"/>
  <c r="K234" i="2"/>
  <c r="S234" i="2" s="1"/>
  <c r="F234" i="10" s="1"/>
  <c r="S234" i="10" s="1"/>
  <c r="K60" i="2"/>
  <c r="K230" i="2"/>
  <c r="S230" i="2" s="1"/>
  <c r="F230" i="10" s="1"/>
  <c r="S230" i="10" s="1"/>
  <c r="K162" i="2"/>
  <c r="S162" i="2" s="1"/>
  <c r="F162" i="10" s="1"/>
  <c r="S162" i="10" s="1"/>
  <c r="K31" i="2"/>
  <c r="S31" i="2" s="1"/>
  <c r="F31" i="10" s="1"/>
  <c r="S31" i="10" s="1"/>
  <c r="K163" i="2"/>
  <c r="S163" i="2" s="1"/>
  <c r="F163" i="10" s="1"/>
  <c r="S163" i="10" s="1"/>
  <c r="K196" i="2"/>
  <c r="S196" i="2" s="1"/>
  <c r="F196" i="10" s="1"/>
  <c r="S196" i="10" s="1"/>
  <c r="K147" i="2"/>
  <c r="S147" i="2" s="1"/>
  <c r="F147" i="10" s="1"/>
  <c r="S147" i="10" s="1"/>
  <c r="K53" i="2"/>
  <c r="S53" i="2" s="1"/>
  <c r="F53" i="10" s="1"/>
  <c r="S53" i="10" s="1"/>
  <c r="K282" i="2"/>
  <c r="S282" i="2" s="1"/>
  <c r="F283" i="10" s="1"/>
  <c r="S283" i="10" s="1"/>
  <c r="K152" i="2"/>
  <c r="S152" i="2" s="1"/>
  <c r="F152" i="10" s="1"/>
  <c r="S152" i="10" s="1"/>
  <c r="K245" i="2"/>
  <c r="S245" i="2" s="1"/>
  <c r="F245" i="10" s="1"/>
  <c r="S245" i="10" s="1"/>
  <c r="K15" i="2"/>
  <c r="S15" i="2" s="1"/>
  <c r="F15" i="10" s="1"/>
  <c r="S15" i="10" s="1"/>
  <c r="K21" i="2"/>
  <c r="S21" i="2" s="1"/>
  <c r="F21" i="10" s="1"/>
  <c r="S21" i="10" s="1"/>
  <c r="K244" i="2"/>
  <c r="S244" i="2" s="1"/>
  <c r="F244" i="10" s="1"/>
  <c r="S244" i="10" s="1"/>
  <c r="K44" i="2"/>
  <c r="S44" i="2" s="1"/>
  <c r="F44" i="10" s="1"/>
  <c r="S44" i="10" s="1"/>
  <c r="K83" i="2"/>
  <c r="K101" i="2"/>
  <c r="S101" i="2" s="1"/>
  <c r="F101" i="10" s="1"/>
  <c r="S101" i="10" s="1"/>
  <c r="K148" i="2"/>
  <c r="S148" i="2" s="1"/>
  <c r="F148" i="10" s="1"/>
  <c r="S148" i="10" s="1"/>
  <c r="K235" i="2"/>
  <c r="S235" i="2" s="1"/>
  <c r="F235" i="10" s="1"/>
  <c r="S235" i="10" s="1"/>
  <c r="K35" i="2"/>
  <c r="S35" i="2" s="1"/>
  <c r="F35" i="10" s="1"/>
  <c r="S35" i="10" s="1"/>
  <c r="K194" i="2"/>
  <c r="S194" i="2" s="1"/>
  <c r="F194" i="10" s="1"/>
  <c r="S194" i="10" s="1"/>
  <c r="K98" i="2"/>
  <c r="S98" i="2" s="1"/>
  <c r="F98" i="10" s="1"/>
  <c r="S98" i="10" s="1"/>
  <c r="K143" i="2"/>
  <c r="S143" i="2" s="1"/>
  <c r="F143" i="10" s="1"/>
  <c r="S143" i="10" s="1"/>
  <c r="K175" i="2"/>
  <c r="K107" i="2"/>
  <c r="S107" i="2" s="1"/>
  <c r="F107" i="10" s="1"/>
  <c r="S107" i="10" s="1"/>
  <c r="K233" i="2"/>
  <c r="S233" i="2" s="1"/>
  <c r="F233" i="10" s="1"/>
  <c r="S233" i="10" s="1"/>
  <c r="K179" i="2"/>
  <c r="S179" i="2" s="1"/>
  <c r="F179" i="10" s="1"/>
  <c r="S179" i="10" s="1"/>
  <c r="K254" i="2"/>
  <c r="S254" i="2" s="1"/>
  <c r="F255" i="10" s="1"/>
  <c r="S255" i="10" s="1"/>
  <c r="K84" i="2"/>
  <c r="S84" i="2" s="1"/>
  <c r="F84" i="10" s="1"/>
  <c r="S84" i="10" s="1"/>
  <c r="K221" i="2"/>
  <c r="S221" i="2" s="1"/>
  <c r="F221" i="10" s="1"/>
  <c r="S221" i="10" s="1"/>
  <c r="K188" i="2"/>
  <c r="S188" i="2" s="1"/>
  <c r="F188" i="10" s="1"/>
  <c r="S188" i="10" s="1"/>
  <c r="K32" i="2"/>
  <c r="S32" i="2" s="1"/>
  <c r="F32" i="10" s="1"/>
  <c r="S32" i="10" s="1"/>
  <c r="K76" i="2"/>
  <c r="S76" i="2" s="1"/>
  <c r="F76" i="10" s="1"/>
  <c r="S76" i="10" s="1"/>
  <c r="K34" i="2"/>
  <c r="S34" i="2" s="1"/>
  <c r="F34" i="10" s="1"/>
  <c r="S34" i="10" s="1"/>
  <c r="K209" i="2"/>
  <c r="S209" i="2" s="1"/>
  <c r="F209" i="10" s="1"/>
  <c r="S209" i="10" s="1"/>
  <c r="K185" i="2"/>
  <c r="S185" i="2" s="1"/>
  <c r="F185" i="10" s="1"/>
  <c r="S185" i="10" s="1"/>
  <c r="K82" i="2"/>
  <c r="S82" i="2" s="1"/>
  <c r="F82" i="10" s="1"/>
  <c r="S82" i="10" s="1"/>
  <c r="K17" i="2"/>
  <c r="S17" i="2" s="1"/>
  <c r="F17" i="10" s="1"/>
  <c r="S17" i="10" s="1"/>
  <c r="K197" i="2"/>
  <c r="S197" i="2" s="1"/>
  <c r="F197" i="10" s="1"/>
  <c r="S197" i="10" s="1"/>
  <c r="K192" i="2"/>
  <c r="S192" i="2" s="1"/>
  <c r="F192" i="10" s="1"/>
  <c r="S192" i="10" s="1"/>
  <c r="K29" i="2"/>
  <c r="S29" i="2" s="1"/>
  <c r="F29" i="10" s="1"/>
  <c r="S29" i="10" s="1"/>
  <c r="K7" i="2"/>
  <c r="S7" i="2" s="1"/>
  <c r="F7" i="10" s="1"/>
  <c r="S7" i="10" s="1"/>
  <c r="K170" i="2"/>
  <c r="S170" i="2" s="1"/>
  <c r="F170" i="10" s="1"/>
  <c r="S170" i="10" s="1"/>
  <c r="K257" i="2"/>
  <c r="S257" i="2" s="1"/>
  <c r="F258" i="10" s="1"/>
  <c r="S258" i="10" s="1"/>
  <c r="K166" i="2"/>
  <c r="K274" i="2"/>
  <c r="S274" i="2" s="1"/>
  <c r="F275" i="10" s="1"/>
  <c r="S275" i="10" s="1"/>
  <c r="K183" i="2"/>
  <c r="S183" i="2" s="1"/>
  <c r="F183" i="10" s="1"/>
  <c r="S183" i="10" s="1"/>
  <c r="K169" i="2"/>
  <c r="S169" i="2" s="1"/>
  <c r="F169" i="10" s="1"/>
  <c r="S169" i="10" s="1"/>
  <c r="K79" i="2"/>
  <c r="S79" i="2" s="1"/>
  <c r="F79" i="10" s="1"/>
  <c r="S79" i="10" s="1"/>
  <c r="K225" i="2"/>
  <c r="S225" i="2" s="1"/>
  <c r="F225" i="10" s="1"/>
  <c r="S225" i="10" s="1"/>
  <c r="K177" i="2"/>
  <c r="S177" i="2" s="1"/>
  <c r="F177" i="10" s="1"/>
  <c r="S177" i="10" s="1"/>
  <c r="K172" i="2"/>
  <c r="S172" i="2" s="1"/>
  <c r="F172" i="10" s="1"/>
  <c r="S172" i="10" s="1"/>
  <c r="K133" i="2"/>
  <c r="S133" i="2" s="1"/>
  <c r="F133" i="10" s="1"/>
  <c r="S133" i="10" s="1"/>
  <c r="K108" i="2"/>
  <c r="S108" i="2" s="1"/>
  <c r="F108" i="10" s="1"/>
  <c r="S108" i="10" s="1"/>
  <c r="K123" i="2"/>
  <c r="S123" i="2" s="1"/>
  <c r="F123" i="10" s="1"/>
  <c r="S123" i="10" s="1"/>
  <c r="K237" i="2"/>
  <c r="S237" i="2" s="1"/>
  <c r="F237" i="10" s="1"/>
  <c r="S237" i="10" s="1"/>
  <c r="K70" i="2"/>
  <c r="S70" i="2" s="1"/>
  <c r="F70" i="10" s="1"/>
  <c r="S70" i="10" s="1"/>
  <c r="K271" i="2"/>
  <c r="S271" i="2" s="1"/>
  <c r="F272" i="10" s="1"/>
  <c r="S272" i="10" s="1"/>
  <c r="K281" i="2"/>
  <c r="S281" i="2" s="1"/>
  <c r="F282" i="10" s="1"/>
  <c r="S282" i="10" s="1"/>
  <c r="K99" i="2"/>
  <c r="K63" i="2"/>
  <c r="S63" i="2" s="1"/>
  <c r="F63" i="10" s="1"/>
  <c r="S63" i="10" s="1"/>
  <c r="K227" i="2"/>
  <c r="S227" i="2" s="1"/>
  <c r="F227" i="10" s="1"/>
  <c r="S227" i="10" s="1"/>
  <c r="K200" i="2"/>
  <c r="S200" i="2" s="1"/>
  <c r="F200" i="10" s="1"/>
  <c r="S200" i="10" s="1"/>
  <c r="K91" i="2"/>
  <c r="S91" i="2" s="1"/>
  <c r="F91" i="10" s="1"/>
  <c r="S91" i="10" s="1"/>
  <c r="K56" i="2"/>
  <c r="S56" i="2" s="1"/>
  <c r="F56" i="10" s="1"/>
  <c r="S56" i="10" s="1"/>
  <c r="K246" i="2"/>
  <c r="S246" i="2" s="1"/>
  <c r="F246" i="10" s="1"/>
  <c r="S246" i="10" s="1"/>
  <c r="K66" i="2"/>
  <c r="S66" i="2" s="1"/>
  <c r="F66" i="10" s="1"/>
  <c r="S66" i="10" s="1"/>
  <c r="K279" i="2"/>
  <c r="S279" i="2" s="1"/>
  <c r="F280" i="10" s="1"/>
  <c r="S280" i="10" s="1"/>
  <c r="K240" i="2"/>
  <c r="S240" i="2" s="1"/>
  <c r="F240" i="10" s="1"/>
  <c r="S240" i="10" s="1"/>
  <c r="K48" i="2"/>
  <c r="S48" i="2" s="1"/>
  <c r="F48" i="10" s="1"/>
  <c r="S48" i="10" s="1"/>
  <c r="K23" i="2"/>
  <c r="S23" i="2" s="1"/>
  <c r="F23" i="10" s="1"/>
  <c r="S23" i="10" s="1"/>
  <c r="K14" i="2"/>
  <c r="S14" i="2" s="1"/>
  <c r="F14" i="10" s="1"/>
  <c r="S14" i="10" s="1"/>
  <c r="K253" i="2"/>
  <c r="S253" i="2" s="1"/>
  <c r="F254" i="10" s="1"/>
  <c r="S254" i="10" s="1"/>
  <c r="K27" i="2"/>
  <c r="S27" i="2" s="1"/>
  <c r="F27" i="10" s="1"/>
  <c r="S27" i="10" s="1"/>
  <c r="K39" i="2"/>
  <c r="S39" i="2" s="1"/>
  <c r="F39" i="10" s="1"/>
  <c r="S39" i="10" s="1"/>
  <c r="K140" i="2"/>
  <c r="S140" i="2" s="1"/>
  <c r="F140" i="10" s="1"/>
  <c r="S140" i="10" s="1"/>
  <c r="K37" i="2"/>
  <c r="S37" i="2" s="1"/>
  <c r="F37" i="10" s="1"/>
  <c r="S37" i="10" s="1"/>
  <c r="K213" i="2"/>
  <c r="S213" i="2" s="1"/>
  <c r="F213" i="10" s="1"/>
  <c r="S213" i="10" s="1"/>
  <c r="K144" i="2"/>
  <c r="S144" i="2" s="1"/>
  <c r="F144" i="10" s="1"/>
  <c r="S144" i="10" s="1"/>
  <c r="K109" i="2"/>
  <c r="S109" i="2" s="1"/>
  <c r="F109" i="10" s="1"/>
  <c r="S109" i="10" s="1"/>
  <c r="K229" i="2"/>
  <c r="S229" i="2" s="1"/>
  <c r="F229" i="10" s="1"/>
  <c r="S229" i="10" s="1"/>
  <c r="K193" i="2"/>
  <c r="S193" i="2" s="1"/>
  <c r="F193" i="10" s="1"/>
  <c r="S193" i="10" s="1"/>
  <c r="K207" i="2"/>
  <c r="S207" i="2" s="1"/>
  <c r="F207" i="10" s="1"/>
  <c r="S207" i="10" s="1"/>
  <c r="K176" i="2"/>
  <c r="S176" i="2" s="1"/>
  <c r="F176" i="10" s="1"/>
  <c r="S176" i="10" s="1"/>
  <c r="K231" i="2"/>
  <c r="S231" i="2" s="1"/>
  <c r="F231" i="10" s="1"/>
  <c r="S231" i="10" s="1"/>
  <c r="K92" i="2"/>
  <c r="K206" i="2"/>
  <c r="S206" i="2" s="1"/>
  <c r="F206" i="10" s="1"/>
  <c r="S206" i="10" s="1"/>
  <c r="K268" i="2"/>
  <c r="S268" i="2" s="1"/>
  <c r="F269" i="10" s="1"/>
  <c r="S269" i="10" s="1"/>
  <c r="K238" i="2"/>
  <c r="S238" i="2" s="1"/>
  <c r="F238" i="10" s="1"/>
  <c r="S238" i="10" s="1"/>
  <c r="K102" i="2"/>
  <c r="S102" i="2" s="1"/>
  <c r="F102" i="10" s="1"/>
  <c r="S102" i="10" s="1"/>
  <c r="K71" i="2"/>
  <c r="S71" i="2" s="1"/>
  <c r="F71" i="10" s="1"/>
  <c r="S71" i="10" s="1"/>
  <c r="K64" i="2"/>
  <c r="S64" i="2" s="1"/>
  <c r="F64" i="10" s="1"/>
  <c r="S64" i="10" s="1"/>
  <c r="K26" i="2"/>
  <c r="S26" i="2" s="1"/>
  <c r="F26" i="10" s="1"/>
  <c r="S26" i="10" s="1"/>
  <c r="K239" i="2"/>
  <c r="S239" i="2" s="1"/>
  <c r="F239" i="10" s="1"/>
  <c r="S239" i="10" s="1"/>
  <c r="K49" i="2"/>
  <c r="S49" i="2" s="1"/>
  <c r="F49" i="10" s="1"/>
  <c r="S49" i="10" s="1"/>
  <c r="K111" i="2"/>
  <c r="S111" i="2" s="1"/>
  <c r="F111" i="10" s="1"/>
  <c r="S111" i="10" s="1"/>
  <c r="K30" i="2"/>
  <c r="S30" i="2" s="1"/>
  <c r="F30" i="10" s="1"/>
  <c r="S30" i="10" s="1"/>
  <c r="K216" i="2"/>
  <c r="S216" i="2" s="1"/>
  <c r="F216" i="10" s="1"/>
  <c r="S216" i="10" s="1"/>
  <c r="K184" i="2"/>
  <c r="S184" i="2" s="1"/>
  <c r="F184" i="10" s="1"/>
  <c r="S184" i="10" s="1"/>
  <c r="K55" i="2"/>
  <c r="S55" i="2" s="1"/>
  <c r="F55" i="10" s="1"/>
  <c r="S55" i="10" s="1"/>
  <c r="K232" i="2"/>
  <c r="S232" i="2" s="1"/>
  <c r="F232" i="10" s="1"/>
  <c r="S232" i="10" s="1"/>
  <c r="K247" i="2"/>
  <c r="S247" i="2" s="1"/>
  <c r="F247" i="10" s="1"/>
  <c r="S247" i="10" s="1"/>
  <c r="K135" i="2"/>
  <c r="S135" i="2" s="1"/>
  <c r="F135" i="10" s="1"/>
  <c r="S135" i="10" s="1"/>
  <c r="K22" i="2"/>
  <c r="S22" i="2" s="1"/>
  <c r="F22" i="10" s="1"/>
  <c r="S22" i="10" s="1"/>
  <c r="K267" i="2"/>
  <c r="S267" i="2" s="1"/>
  <c r="F268" i="10" s="1"/>
  <c r="S268" i="10" s="1"/>
  <c r="K158" i="2"/>
  <c r="S158" i="2" s="1"/>
  <c r="F158" i="10" s="1"/>
  <c r="S158" i="10" s="1"/>
  <c r="K180" i="2"/>
  <c r="S180" i="2" s="1"/>
  <c r="F180" i="10" s="1"/>
  <c r="S180" i="10" s="1"/>
  <c r="K117" i="2"/>
  <c r="S117" i="2" s="1"/>
  <c r="F117" i="10" s="1"/>
  <c r="S117" i="10" s="1"/>
  <c r="K9" i="2"/>
  <c r="S9" i="2" s="1"/>
  <c r="F9" i="10" s="1"/>
  <c r="S9" i="10" s="1"/>
  <c r="K167" i="2"/>
  <c r="S167" i="2" s="1"/>
  <c r="F167" i="10" s="1"/>
  <c r="S167" i="10" s="1"/>
  <c r="K121" i="2"/>
  <c r="S121" i="2" s="1"/>
  <c r="F121" i="10" s="1"/>
  <c r="S121" i="10" s="1"/>
  <c r="K160" i="2"/>
  <c r="S160" i="2" s="1"/>
  <c r="F160" i="10" s="1"/>
  <c r="S160" i="10" s="1"/>
  <c r="K275" i="2"/>
  <c r="S275" i="2" s="1"/>
  <c r="F276" i="10" s="1"/>
  <c r="S276" i="10" s="1"/>
  <c r="K241" i="2"/>
  <c r="S241" i="2" s="1"/>
  <c r="F241" i="10" s="1"/>
  <c r="S241" i="10" s="1"/>
  <c r="K125" i="2"/>
  <c r="S125" i="2" s="1"/>
  <c r="F125" i="10" s="1"/>
  <c r="S125" i="10" s="1"/>
  <c r="K11" i="2"/>
  <c r="S11" i="2" s="1"/>
  <c r="F11" i="10" s="1"/>
  <c r="S11" i="10" s="1"/>
  <c r="K12" i="2"/>
  <c r="S12" i="2" s="1"/>
  <c r="F12" i="10" s="1"/>
  <c r="S12" i="10" s="1"/>
  <c r="K259" i="2"/>
  <c r="S259" i="2" s="1"/>
  <c r="F260" i="10" s="1"/>
  <c r="S260" i="10" s="1"/>
  <c r="K202" i="2"/>
  <c r="S202" i="2" s="1"/>
  <c r="F202" i="10" s="1"/>
  <c r="S202" i="10" s="1"/>
  <c r="K165" i="2"/>
  <c r="S165" i="2" s="1"/>
  <c r="F165" i="10" s="1"/>
  <c r="S165" i="10" s="1"/>
  <c r="K4" i="2"/>
  <c r="S4" i="2" s="1"/>
  <c r="F4" i="10" s="1"/>
  <c r="S4" i="10" s="1"/>
  <c r="K273" i="2"/>
  <c r="S273" i="2" s="1"/>
  <c r="F274" i="10" s="1"/>
  <c r="S274" i="10" s="1"/>
  <c r="K159" i="2"/>
  <c r="S159" i="2" s="1"/>
  <c r="F159" i="10" s="1"/>
  <c r="S159" i="10" s="1"/>
  <c r="K77" i="2"/>
  <c r="S77" i="2" s="1"/>
  <c r="F77" i="10" s="1"/>
  <c r="S77" i="10" s="1"/>
  <c r="K116" i="2"/>
  <c r="S116" i="2" s="1"/>
  <c r="F116" i="10" s="1"/>
  <c r="S116" i="10" s="1"/>
  <c r="K46" i="2"/>
  <c r="S46" i="2" s="1"/>
  <c r="F46" i="10" s="1"/>
  <c r="S46" i="10" s="1"/>
  <c r="K171" i="2"/>
  <c r="S171" i="2" s="1"/>
  <c r="F171" i="10" s="1"/>
  <c r="S171" i="10" s="1"/>
  <c r="K10" i="2"/>
  <c r="S10" i="2" s="1"/>
  <c r="F10" i="10" s="1"/>
  <c r="S10" i="10" s="1"/>
  <c r="K228" i="2"/>
  <c r="S228" i="2" s="1"/>
  <c r="F228" i="10" s="1"/>
  <c r="S228" i="10" s="1"/>
  <c r="K146" i="2"/>
  <c r="S146" i="2" s="1"/>
  <c r="F146" i="10" s="1"/>
  <c r="S146" i="10" s="1"/>
  <c r="K65" i="2"/>
  <c r="S65" i="2" s="1"/>
  <c r="F65" i="10" s="1"/>
  <c r="S65" i="10" s="1"/>
  <c r="K54" i="2"/>
  <c r="S54" i="2" s="1"/>
  <c r="F54" i="10" s="1"/>
  <c r="S54" i="10" s="1"/>
  <c r="K242" i="2"/>
  <c r="K263" i="2"/>
  <c r="S263" i="2" s="1"/>
  <c r="F264" i="10" s="1"/>
  <c r="S264" i="10" s="1"/>
  <c r="K58" i="2"/>
  <c r="S58" i="2" s="1"/>
  <c r="F58" i="10" s="1"/>
  <c r="S58" i="10" s="1"/>
  <c r="K173" i="2"/>
  <c r="S173" i="2" s="1"/>
  <c r="F173" i="10" s="1"/>
  <c r="S173" i="10" s="1"/>
  <c r="K120" i="2"/>
  <c r="S120" i="2" s="1"/>
  <c r="F120" i="10" s="1"/>
  <c r="S120" i="10" s="1"/>
  <c r="K105" i="2"/>
  <c r="S105" i="2" s="1"/>
  <c r="F105" i="10" s="1"/>
  <c r="S105" i="10" s="1"/>
  <c r="K222" i="2"/>
  <c r="S222" i="2" s="1"/>
  <c r="F222" i="10" s="1"/>
  <c r="S222" i="10" s="1"/>
  <c r="K260" i="2"/>
  <c r="S260" i="2" s="1"/>
  <c r="F261" i="10" s="1"/>
  <c r="S261" i="10" s="1"/>
  <c r="K126" i="2"/>
  <c r="S126" i="2" s="1"/>
  <c r="F126" i="10" s="1"/>
  <c r="S126" i="10" s="1"/>
  <c r="K191" i="2"/>
  <c r="S191" i="2" s="1"/>
  <c r="F191" i="10" s="1"/>
  <c r="S191" i="10" s="1"/>
  <c r="K18" i="2"/>
  <c r="S18" i="2" s="1"/>
  <c r="F18" i="10" s="1"/>
  <c r="S18" i="10" s="1"/>
  <c r="K205" i="2"/>
  <c r="S205" i="2" s="1"/>
  <c r="F205" i="10" s="1"/>
  <c r="S205" i="10" s="1"/>
  <c r="K256" i="2"/>
  <c r="S256" i="2" s="1"/>
  <c r="F257" i="10" s="1"/>
  <c r="S257" i="10" s="1"/>
  <c r="K161" i="2"/>
  <c r="S161" i="2" s="1"/>
  <c r="F161" i="10" s="1"/>
  <c r="S161" i="10" s="1"/>
  <c r="K5" i="2"/>
  <c r="S5" i="2" s="1"/>
  <c r="F5" i="10" s="1"/>
  <c r="S5" i="10" s="1"/>
  <c r="K142" i="2"/>
  <c r="S142" i="2" s="1"/>
  <c r="F142" i="10" s="1"/>
  <c r="S142" i="10" s="1"/>
  <c r="K277" i="2"/>
  <c r="S277" i="2" s="1"/>
  <c r="F278" i="10" s="1"/>
  <c r="S278" i="10" s="1"/>
  <c r="K88" i="2"/>
  <c r="S88" i="2" s="1"/>
  <c r="F88" i="10" s="1"/>
  <c r="S88" i="10" s="1"/>
  <c r="K215" i="2"/>
  <c r="S215" i="2" s="1"/>
  <c r="F215" i="10" s="1"/>
  <c r="S215" i="10" s="1"/>
  <c r="K214" i="2"/>
  <c r="S214" i="2" s="1"/>
  <c r="F214" i="10" s="1"/>
  <c r="S214" i="10" s="1"/>
  <c r="K168" i="2"/>
  <c r="S168" i="2" s="1"/>
  <c r="F168" i="10" s="1"/>
  <c r="S168" i="10" s="1"/>
  <c r="K261" i="2"/>
  <c r="K217" i="2"/>
  <c r="S217" i="2" s="1"/>
  <c r="F217" i="10" s="1"/>
  <c r="S217" i="10" s="1"/>
  <c r="K45" i="2"/>
  <c r="S45" i="2" s="1"/>
  <c r="F45" i="10" s="1"/>
  <c r="S45" i="10" s="1"/>
  <c r="K104" i="2"/>
  <c r="S104" i="2" s="1"/>
  <c r="F104" i="10" s="1"/>
  <c r="S104" i="10" s="1"/>
  <c r="K270" i="2"/>
  <c r="S270" i="2" s="1"/>
  <c r="F271" i="10" s="1"/>
  <c r="S271" i="10" s="1"/>
  <c r="K204" i="2"/>
  <c r="S204" i="2" s="1"/>
  <c r="F204" i="10" s="1"/>
  <c r="S204" i="10" s="1"/>
  <c r="K265" i="2"/>
  <c r="S265" i="2" s="1"/>
  <c r="F266" i="10" s="1"/>
  <c r="S266" i="10" s="1"/>
  <c r="K223" i="2"/>
  <c r="S223" i="2" s="1"/>
  <c r="F223" i="10" s="1"/>
  <c r="S223" i="10" s="1"/>
  <c r="K129" i="2"/>
  <c r="S129" i="2" s="1"/>
  <c r="F129" i="10" s="1"/>
  <c r="S129" i="10" s="1"/>
  <c r="K249" i="2"/>
  <c r="S249" i="2" s="1"/>
  <c r="F250" i="10" s="1"/>
  <c r="S250" i="10" s="1"/>
  <c r="K190" i="2"/>
  <c r="S190" i="2" s="1"/>
  <c r="F190" i="10" s="1"/>
  <c r="S190" i="10" s="1"/>
  <c r="K94" i="2"/>
  <c r="S94" i="2" s="1"/>
  <c r="F94" i="10" s="1"/>
  <c r="S94" i="10" s="1"/>
  <c r="K236" i="2"/>
  <c r="S236" i="2" s="1"/>
  <c r="F236" i="10" s="1"/>
  <c r="S236" i="10" s="1"/>
  <c r="K112" i="2"/>
  <c r="S112" i="2" s="1"/>
  <c r="F112" i="10" s="1"/>
  <c r="S112" i="10" s="1"/>
  <c r="K74" i="2"/>
  <c r="S74" i="2" s="1"/>
  <c r="F74" i="10" s="1"/>
  <c r="S74" i="10" s="1"/>
  <c r="K28" i="2"/>
  <c r="S28" i="2" s="1"/>
  <c r="F28" i="10" s="1"/>
  <c r="S28" i="10" s="1"/>
  <c r="K81" i="2"/>
  <c r="S81" i="2" s="1"/>
  <c r="F81" i="10" s="1"/>
  <c r="S81" i="10" s="1"/>
  <c r="K156" i="2"/>
  <c r="S156" i="2" s="1"/>
  <c r="F156" i="10" s="1"/>
  <c r="S156" i="10" s="1"/>
  <c r="K258" i="2"/>
  <c r="S258" i="2" s="1"/>
  <c r="F259" i="10" s="1"/>
  <c r="S259" i="10" s="1"/>
  <c r="K6" i="2"/>
  <c r="S6" i="2" s="1"/>
  <c r="F6" i="10" s="1"/>
  <c r="S6" i="10" s="1"/>
  <c r="K243" i="2"/>
  <c r="S243" i="2" s="1"/>
  <c r="F243" i="10" s="1"/>
  <c r="S243" i="10" s="1"/>
  <c r="K78" i="2"/>
  <c r="S78" i="2" s="1"/>
  <c r="F78" i="10" s="1"/>
  <c r="S78" i="10" s="1"/>
  <c r="K118" i="2"/>
  <c r="S118" i="2" s="1"/>
  <c r="F118" i="10" s="1"/>
  <c r="S118" i="10" s="1"/>
  <c r="Q22" i="11"/>
  <c r="K278" i="2"/>
  <c r="S278" i="2" s="1"/>
  <c r="F279" i="10" s="1"/>
  <c r="S279" i="10" s="1"/>
  <c r="K86" i="2"/>
  <c r="S86" i="2" s="1"/>
  <c r="F86" i="10" s="1"/>
  <c r="S86" i="10" s="1"/>
  <c r="K72" i="2"/>
  <c r="K250" i="2"/>
  <c r="S250" i="2" s="1"/>
  <c r="F251" i="10" s="1"/>
  <c r="S251" i="10" s="1"/>
  <c r="K226" i="2"/>
  <c r="S226" i="2" s="1"/>
  <c r="F226" i="10" s="1"/>
  <c r="S226" i="10" s="1"/>
  <c r="K154" i="2"/>
  <c r="S154" i="2" s="1"/>
  <c r="F154" i="10" s="1"/>
  <c r="S154" i="10" s="1"/>
  <c r="Z283" i="1" l="1"/>
  <c r="F9" i="24"/>
  <c r="F23" i="24" s="1"/>
  <c r="S175" i="2"/>
  <c r="F175" i="10" s="1"/>
  <c r="S175" i="10" s="1"/>
  <c r="S92" i="2"/>
  <c r="F92" i="10" s="1"/>
  <c r="S92" i="10" l="1"/>
  <c r="S284" i="10" s="1"/>
</calcChain>
</file>

<file path=xl/sharedStrings.xml><?xml version="1.0" encoding="utf-8"?>
<sst xmlns="http://schemas.openxmlformats.org/spreadsheetml/2006/main" count="9039" uniqueCount="484">
  <si>
    <t>Michigan Department of Attorney General Opioid Settlement Payment Estimator</t>
  </si>
  <si>
    <t>Introduction and Information</t>
  </si>
  <si>
    <t>All Settlement Totals</t>
  </si>
  <si>
    <t>County</t>
  </si>
  <si>
    <t>Subdivision</t>
  </si>
  <si>
    <t>McKinsey</t>
  </si>
  <si>
    <t>Distributor</t>
  </si>
  <si>
    <t>Janssen</t>
  </si>
  <si>
    <t>Teva</t>
  </si>
  <si>
    <t>Allergan</t>
  </si>
  <si>
    <t>CVS</t>
  </si>
  <si>
    <t>Walmart</t>
  </si>
  <si>
    <t>Walgreens</t>
  </si>
  <si>
    <t>Total</t>
  </si>
  <si>
    <t>Kent County</t>
  </si>
  <si>
    <t>Ada Township</t>
  </si>
  <si>
    <t>Lenawee County</t>
  </si>
  <si>
    <t>Adrian City</t>
  </si>
  <si>
    <t>Alcona County</t>
  </si>
  <si>
    <t>Alger County</t>
  </si>
  <si>
    <t>Algoma Township</t>
  </si>
  <si>
    <t>Allegan County</t>
  </si>
  <si>
    <t>Wayne County</t>
  </si>
  <si>
    <t>Allen Park City</t>
  </si>
  <si>
    <t>Ottawa County</t>
  </si>
  <si>
    <t>Allendale Charter Township</t>
  </si>
  <si>
    <t>Alpena County</t>
  </si>
  <si>
    <t>Alpine Charter Township</t>
  </si>
  <si>
    <t>Washtenaw County</t>
  </si>
  <si>
    <t>Ann Arbor City</t>
  </si>
  <si>
    <t>Antrim County</t>
  </si>
  <si>
    <t>Van Buren County</t>
  </si>
  <si>
    <t>Antwerp Township</t>
  </si>
  <si>
    <t>Arenac County</t>
  </si>
  <si>
    <t>Oakland County</t>
  </si>
  <si>
    <t>Auburn Hills City</t>
  </si>
  <si>
    <t>Bay County</t>
  </si>
  <si>
    <t>Bangor Charter Township</t>
  </si>
  <si>
    <t>Baraga County</t>
  </si>
  <si>
    <t>Barry County</t>
  </si>
  <si>
    <t>Clinton County</t>
  </si>
  <si>
    <t>Bath Charter Township</t>
  </si>
  <si>
    <t>Calhoun County</t>
  </si>
  <si>
    <t>Battle Creek City</t>
  </si>
  <si>
    <t>Bay City</t>
  </si>
  <si>
    <t>Monroe County</t>
  </si>
  <si>
    <t>Bedford Township</t>
  </si>
  <si>
    <t>Berrien County</t>
  </si>
  <si>
    <t>Benton Charter Township</t>
  </si>
  <si>
    <t>Benzie County</t>
  </si>
  <si>
    <t>Berkley City</t>
  </si>
  <si>
    <t>Beverly Hills Village</t>
  </si>
  <si>
    <t>Mecosta County</t>
  </si>
  <si>
    <t>Big Rapids City</t>
  </si>
  <si>
    <t>Birmingham City</t>
  </si>
  <si>
    <t>Jackson County</t>
  </si>
  <si>
    <t>Blackman Charter Township</t>
  </si>
  <si>
    <t>Bloomfield Charter Township</t>
  </si>
  <si>
    <t>Branch County</t>
  </si>
  <si>
    <t>Brandon Charter Township</t>
  </si>
  <si>
    <t>Livingston County</t>
  </si>
  <si>
    <t>Brighton Township</t>
  </si>
  <si>
    <t>Brownstown Charter Township</t>
  </si>
  <si>
    <t>Genesee County</t>
  </si>
  <si>
    <t>Burton City</t>
  </si>
  <si>
    <t>Byron Township</t>
  </si>
  <si>
    <t>Wexford County</t>
  </si>
  <si>
    <t>Cadillac City</t>
  </si>
  <si>
    <t>Caledonia Charter Township</t>
  </si>
  <si>
    <t>Cannon Township</t>
  </si>
  <si>
    <t>Canton Charter Township</t>
  </si>
  <si>
    <t>Cascade Charter Township</t>
  </si>
  <si>
    <t>Cass County</t>
  </si>
  <si>
    <t>Charlevoix County</t>
  </si>
  <si>
    <t>Cheboygan County</t>
  </si>
  <si>
    <t>Macomb County</t>
  </si>
  <si>
    <t>Chesterfield Charter Township</t>
  </si>
  <si>
    <t>Chippewa County</t>
  </si>
  <si>
    <t>Clare County</t>
  </si>
  <si>
    <t>Clawson City</t>
  </si>
  <si>
    <t>Clinton Charter Township</t>
  </si>
  <si>
    <t>Coldwater City</t>
  </si>
  <si>
    <t>Commerce Charter Township</t>
  </si>
  <si>
    <t>Kalamazoo County</t>
  </si>
  <si>
    <t>Comstock Charter Township</t>
  </si>
  <si>
    <t>Cooper Charter Township</t>
  </si>
  <si>
    <t>Crawford County</t>
  </si>
  <si>
    <t>Davison Township</t>
  </si>
  <si>
    <t>Dearborn City</t>
  </si>
  <si>
    <t>Dearborn Heights City</t>
  </si>
  <si>
    <t>Ingham County</t>
  </si>
  <si>
    <t>Delhi Charter Township</t>
  </si>
  <si>
    <t>Eaton County</t>
  </si>
  <si>
    <t>Delta Charter Township</t>
  </si>
  <si>
    <t>Delta County</t>
  </si>
  <si>
    <t>Detroit City</t>
  </si>
  <si>
    <t>Detroit Wayne Mental Health Authority</t>
  </si>
  <si>
    <t>Dewitt Charter Township</t>
  </si>
  <si>
    <t>Dickinson County</t>
  </si>
  <si>
    <t>Grand Traverse County</t>
  </si>
  <si>
    <t>East Bay Township</t>
  </si>
  <si>
    <t>East Grand Rapids City</t>
  </si>
  <si>
    <t>Clinton County, Ingham County</t>
  </si>
  <si>
    <t>East Lansing City</t>
  </si>
  <si>
    <t>Eastpointe City</t>
  </si>
  <si>
    <t>Muskegon County</t>
  </si>
  <si>
    <t>Egelston Township</t>
  </si>
  <si>
    <t>Emmet County</t>
  </si>
  <si>
    <t>Emmett Charter Township</t>
  </si>
  <si>
    <t>Escanaba City</t>
  </si>
  <si>
    <t>Farmington City</t>
  </si>
  <si>
    <t>Farmington Hills City</t>
  </si>
  <si>
    <t>Fenton Charter Township</t>
  </si>
  <si>
    <t>Genesee County, Livingston County, Oakland County</t>
  </si>
  <si>
    <t>Fenton City</t>
  </si>
  <si>
    <t>Ferndale City</t>
  </si>
  <si>
    <t>Monroe County, Wayne County</t>
  </si>
  <si>
    <t>Flat Rock City</t>
  </si>
  <si>
    <t>Flint Charter Township</t>
  </si>
  <si>
    <t>Flint City</t>
  </si>
  <si>
    <t>Flushing Charter Township</t>
  </si>
  <si>
    <t>St Clair County</t>
  </si>
  <si>
    <t>Fort Gratiot Charter Township</t>
  </si>
  <si>
    <t>Fraser City</t>
  </si>
  <si>
    <t>Frenchtown Charter Township</t>
  </si>
  <si>
    <t>Fruitport Charter Township</t>
  </si>
  <si>
    <t>Gaines Township</t>
  </si>
  <si>
    <t>Garden City</t>
  </si>
  <si>
    <t>Garfield Charter Township</t>
  </si>
  <si>
    <t>Genesee Charter Township</t>
  </si>
  <si>
    <t>Genoa Township</t>
  </si>
  <si>
    <t>Georgetown Charter Township</t>
  </si>
  <si>
    <t>Gladwin County</t>
  </si>
  <si>
    <t>Gogebic County</t>
  </si>
  <si>
    <t>Grand Blanc Charter Township</t>
  </si>
  <si>
    <t>Grand Haven Charter Township</t>
  </si>
  <si>
    <t>Grand Haven City</t>
  </si>
  <si>
    <t>Grand Rapids Charter Township</t>
  </si>
  <si>
    <t>Grand Rapids City</t>
  </si>
  <si>
    <t>Grandville City</t>
  </si>
  <si>
    <t>Gratiot County</t>
  </si>
  <si>
    <t>Green Oak Township</t>
  </si>
  <si>
    <t>Grosse Ile Township</t>
  </si>
  <si>
    <t>Grosse Pointe Park City</t>
  </si>
  <si>
    <t>Grosse Pointe Woods City</t>
  </si>
  <si>
    <t>Hamburg Township</t>
  </si>
  <si>
    <t>Hamtramck City</t>
  </si>
  <si>
    <t>Harper Woods City</t>
  </si>
  <si>
    <t>Harrison Charter Township</t>
  </si>
  <si>
    <t>Hartland Township</t>
  </si>
  <si>
    <t>Hazel Park City</t>
  </si>
  <si>
    <t>Highland Charter Township</t>
  </si>
  <si>
    <t>Highland Park City</t>
  </si>
  <si>
    <t>Hillsdale County</t>
  </si>
  <si>
    <t>Holland Charter Township</t>
  </si>
  <si>
    <t>Allegan County, Ottawa County</t>
  </si>
  <si>
    <t>Holland City</t>
  </si>
  <si>
    <t>Holly Township</t>
  </si>
  <si>
    <t>Houghton County</t>
  </si>
  <si>
    <t>Huron Charter Township</t>
  </si>
  <si>
    <t>Huron County</t>
  </si>
  <si>
    <t>Independence Charter Township</t>
  </si>
  <si>
    <t>Inkster City</t>
  </si>
  <si>
    <t>Ionia County</t>
  </si>
  <si>
    <t>Ionia City</t>
  </si>
  <si>
    <t>Iosco County</t>
  </si>
  <si>
    <t>Iron County</t>
  </si>
  <si>
    <t>Iron Mountain City</t>
  </si>
  <si>
    <t>Isabella County</t>
  </si>
  <si>
    <t>Jackson City</t>
  </si>
  <si>
    <t>Kalamazoo Charter Township</t>
  </si>
  <si>
    <t>Kalamazoo City</t>
  </si>
  <si>
    <t>Kalkaska County</t>
  </si>
  <si>
    <t>Kentwood City</t>
  </si>
  <si>
    <t>Keweenaw County</t>
  </si>
  <si>
    <t>Lake County</t>
  </si>
  <si>
    <t>Clinton County, Eaton County, Ingham County</t>
  </si>
  <si>
    <t>Lansing City</t>
  </si>
  <si>
    <t>Lapeer County</t>
  </si>
  <si>
    <t>Leelanau County</t>
  </si>
  <si>
    <t>Lenox Township</t>
  </si>
  <si>
    <t>Leoni Township</t>
  </si>
  <si>
    <t>Lincoln Charter Township</t>
  </si>
  <si>
    <t>Lincoln Park City</t>
  </si>
  <si>
    <t>Livonia City</t>
  </si>
  <si>
    <t>Luce County</t>
  </si>
  <si>
    <t>Lyon Charter Township</t>
  </si>
  <si>
    <t>Mackinac County</t>
  </si>
  <si>
    <t>Macomb Township</t>
  </si>
  <si>
    <t>Madison Heights City</t>
  </si>
  <si>
    <t>Manistee County</t>
  </si>
  <si>
    <t>Marion Township</t>
  </si>
  <si>
    <t>Marquette County</t>
  </si>
  <si>
    <t>Marquette City</t>
  </si>
  <si>
    <t>Mason County</t>
  </si>
  <si>
    <t>Melvindale City</t>
  </si>
  <si>
    <t>Menominee County</t>
  </si>
  <si>
    <t>Meridian Charter Township</t>
  </si>
  <si>
    <t>Bay County, Midland County</t>
  </si>
  <si>
    <t>Midland City</t>
  </si>
  <si>
    <t>Midland County</t>
  </si>
  <si>
    <t>Milford Charter Township</t>
  </si>
  <si>
    <t>Missaukee County</t>
  </si>
  <si>
    <t>Monitor Charter Township</t>
  </si>
  <si>
    <t>Monroe Charter Township</t>
  </si>
  <si>
    <t>Monroe City</t>
  </si>
  <si>
    <t>Montcalm County</t>
  </si>
  <si>
    <t>Montmorency County</t>
  </si>
  <si>
    <t>Mount Clemens City</t>
  </si>
  <si>
    <t>Mount Morris Charter Township</t>
  </si>
  <si>
    <t>Mount Pleasant City</t>
  </si>
  <si>
    <t>Mundy Charter Township</t>
  </si>
  <si>
    <t>Muskegon Charter Township</t>
  </si>
  <si>
    <t>Muskegon City</t>
  </si>
  <si>
    <t>Muskegon Heights City</t>
  </si>
  <si>
    <t>New Baltimore City</t>
  </si>
  <si>
    <t>Newaygo County</t>
  </si>
  <si>
    <t>Berrien County, Cass County</t>
  </si>
  <si>
    <t>Niles City</t>
  </si>
  <si>
    <t>Niles Township</t>
  </si>
  <si>
    <t>Northville Charter Township</t>
  </si>
  <si>
    <t>Norton Shores City</t>
  </si>
  <si>
    <t>Novi City</t>
  </si>
  <si>
    <t>Oak Park City</t>
  </si>
  <si>
    <t>Oakland Charter Township</t>
  </si>
  <si>
    <t>Oceana County</t>
  </si>
  <si>
    <t>Oceola Township</t>
  </si>
  <si>
    <t>Ogemaw County</t>
  </si>
  <si>
    <t>Ontonagon County</t>
  </si>
  <si>
    <t>Orion Charter Township</t>
  </si>
  <si>
    <t>Osceola County</t>
  </si>
  <si>
    <t>Oscoda County</t>
  </si>
  <si>
    <t>Oshtemo Charter Township</t>
  </si>
  <si>
    <t>Otsego County</t>
  </si>
  <si>
    <t>Shiawassee County</t>
  </si>
  <si>
    <t>Owosso City</t>
  </si>
  <si>
    <t>Oxford Charter Township</t>
  </si>
  <si>
    <t>Park Township</t>
  </si>
  <si>
    <t>Pittsfield Charter Township</t>
  </si>
  <si>
    <t>Plainfield Charter Township</t>
  </si>
  <si>
    <t>Plymouth Charter Township</t>
  </si>
  <si>
    <t>Pontiac City</t>
  </si>
  <si>
    <t>Port Huron Charter Township</t>
  </si>
  <si>
    <t>Port Huron City</t>
  </si>
  <si>
    <t>Portage City</t>
  </si>
  <si>
    <t>Presque Isle County</t>
  </si>
  <si>
    <t>Redford Charter Township</t>
  </si>
  <si>
    <t>Riverview City</t>
  </si>
  <si>
    <t>Rochester City</t>
  </si>
  <si>
    <t>Rochester Hills City</t>
  </si>
  <si>
    <t>Romulus City</t>
  </si>
  <si>
    <t>Roscommon County</t>
  </si>
  <si>
    <t>Roseville City</t>
  </si>
  <si>
    <t>Royal Oak City</t>
  </si>
  <si>
    <t>Saginaw County</t>
  </si>
  <si>
    <t>Saginaw Charter Township</t>
  </si>
  <si>
    <t>Saginaw City</t>
  </si>
  <si>
    <t>Sanilac County</t>
  </si>
  <si>
    <t>Sault Ste. Marie City</t>
  </si>
  <si>
    <t>Schoolcraft County</t>
  </si>
  <si>
    <t>Scio Charter Township</t>
  </si>
  <si>
    <t>Shelby Charter Township</t>
  </si>
  <si>
    <t>South Lyon City</t>
  </si>
  <si>
    <t>Southfield City</t>
  </si>
  <si>
    <t>Southfield Township</t>
  </si>
  <si>
    <t>Southgate City</t>
  </si>
  <si>
    <t>Spring Lake Township</t>
  </si>
  <si>
    <t>Springfield Charter Township</t>
  </si>
  <si>
    <t>St Joseph County</t>
  </si>
  <si>
    <t>St. Clair Shores City</t>
  </si>
  <si>
    <t>State of Michigan</t>
  </si>
  <si>
    <t>Sterling Heights City</t>
  </si>
  <si>
    <t>Sturgis City</t>
  </si>
  <si>
    <t>Summit Township</t>
  </si>
  <si>
    <t>Superior Charter Township</t>
  </si>
  <si>
    <t>Taylor City</t>
  </si>
  <si>
    <t>Texas Charter Township</t>
  </si>
  <si>
    <t>Thomas Township</t>
  </si>
  <si>
    <t>Grand Traverse County, Leelanau County</t>
  </si>
  <si>
    <t>Traverse City</t>
  </si>
  <si>
    <t>Trenton City</t>
  </si>
  <si>
    <t>Troy City</t>
  </si>
  <si>
    <t>Tuscola County</t>
  </si>
  <si>
    <t>Tyrone Township</t>
  </si>
  <si>
    <t>Union Charter Township</t>
  </si>
  <si>
    <t>Van Buren Charter Township</t>
  </si>
  <si>
    <t>Vienna Charter Township</t>
  </si>
  <si>
    <t>Walker City</t>
  </si>
  <si>
    <t>Warren City</t>
  </si>
  <si>
    <t>Washington Township</t>
  </si>
  <si>
    <t>Waterford Charter Township</t>
  </si>
  <si>
    <t>Wayne City</t>
  </si>
  <si>
    <t>West Bloomfield Charter Township</t>
  </si>
  <si>
    <t>Westland City</t>
  </si>
  <si>
    <t>White Lake Charter Township</t>
  </si>
  <si>
    <t>Wixom City</t>
  </si>
  <si>
    <t>Woodhaven City</t>
  </si>
  <si>
    <t>Wyandotte City</t>
  </si>
  <si>
    <t>Wyoming City</t>
  </si>
  <si>
    <t>Ypsilanti Charter Township</t>
  </si>
  <si>
    <t>Ypsilanti City</t>
  </si>
  <si>
    <t>Zeeland Charter Township</t>
  </si>
  <si>
    <t>Settlement Totals Per Calendar Year</t>
  </si>
  <si>
    <t>&lt;--- Dropdown Selection List</t>
  </si>
  <si>
    <t>Distributors</t>
  </si>
  <si>
    <t>Total:</t>
  </si>
  <si>
    <t>McKinsey Settlement Year-by-Year Payments*</t>
  </si>
  <si>
    <t>*An Additional McKinsey Settlement is pending for local governments. See MDL 2996.</t>
  </si>
  <si>
    <t>Actual</t>
  </si>
  <si>
    <t>Estimated</t>
  </si>
  <si>
    <t>Allocation Percentage</t>
  </si>
  <si>
    <t>Payment 1</t>
  </si>
  <si>
    <t>Payment 2</t>
  </si>
  <si>
    <t>Payment 3</t>
  </si>
  <si>
    <t>Payment 4</t>
  </si>
  <si>
    <t>Payment 5</t>
  </si>
  <si>
    <t>Distributors Settlement Year-by-Year Payments</t>
  </si>
  <si>
    <t>De minimis-share Local Government</t>
  </si>
  <si>
    <t>Payment 1**</t>
  </si>
  <si>
    <t>Payment 2**</t>
  </si>
  <si>
    <t>Payment 3**</t>
  </si>
  <si>
    <t>Payment 6</t>
  </si>
  <si>
    <t>Payment 7</t>
  </si>
  <si>
    <t>Payment 8</t>
  </si>
  <si>
    <t>Payment 9</t>
  </si>
  <si>
    <t>Payment 10</t>
  </si>
  <si>
    <t>Payment 11</t>
  </si>
  <si>
    <t>Payment 12</t>
  </si>
  <si>
    <t>Payment 13</t>
  </si>
  <si>
    <t>Payment 14</t>
  </si>
  <si>
    <t>Payment 15</t>
  </si>
  <si>
    <t>Payment 16</t>
  </si>
  <si>
    <t>Payment 17</t>
  </si>
  <si>
    <t>Payment 18</t>
  </si>
  <si>
    <t>Reversion from Attorney Fee Fund</t>
  </si>
  <si>
    <t>Correction for Mathematical Error in Years 1-3</t>
  </si>
  <si>
    <t>No</t>
  </si>
  <si>
    <t>Non-Participating*</t>
  </si>
  <si>
    <t>Yes</t>
  </si>
  <si>
    <t>Gaines Township, Kent County</t>
  </si>
  <si>
    <t>*Payment rolls up to County.</t>
  </si>
  <si>
    <t>**Calculated under different allocation percentage.</t>
  </si>
  <si>
    <t>Janssen Settlement Year-by-Year Payments</t>
  </si>
  <si>
    <t>Totals</t>
  </si>
  <si>
    <t>Teva Settlement Year-by-Year Payments</t>
  </si>
  <si>
    <t>Reversion from Attorney Fee-Fund</t>
  </si>
  <si>
    <t>Not Known Yet</t>
  </si>
  <si>
    <t>Allergan Settlement Year-by-Year Payments</t>
  </si>
  <si>
    <t>CVS Settlement Year-by-Year Payments</t>
  </si>
  <si>
    <t>Distributor National Settlement</t>
  </si>
  <si>
    <t>Percentages</t>
  </si>
  <si>
    <t>Payment Year</t>
  </si>
  <si>
    <t>Distributor National Base Payment</t>
  </si>
  <si>
    <t>Distributor National Bonus A</t>
  </si>
  <si>
    <t>Distributor National Bonus D</t>
  </si>
  <si>
    <t>Distributor National Totals</t>
  </si>
  <si>
    <t>Michigan Allocation</t>
  </si>
  <si>
    <t xml:space="preserve">  State of Michigan Share</t>
  </si>
  <si>
    <t xml:space="preserve">  Local Government De Minimis Share back to State of Michigan</t>
  </si>
  <si>
    <t>State of Michigan Abatement Total</t>
  </si>
  <si>
    <t xml:space="preserve">   Michigan Local Subdivisions Share</t>
  </si>
  <si>
    <t>Local Subdivision Administrative Fund</t>
  </si>
  <si>
    <t>Local Subdivision Special Circumstance Fund</t>
  </si>
  <si>
    <t>Local Subdivision Litigating Local Government Attorney Fee Fund</t>
  </si>
  <si>
    <t>Local Government De Minimis Share from State of Michigan</t>
  </si>
  <si>
    <t>Local Government Abatement Total</t>
  </si>
  <si>
    <t>Janssen National Settlement</t>
  </si>
  <si>
    <t>Janssen National Base Payment</t>
  </si>
  <si>
    <t>Janssen National Bonus A</t>
  </si>
  <si>
    <t>Janssen National Bonus D</t>
  </si>
  <si>
    <t>Janssen National Totals</t>
  </si>
  <si>
    <t xml:space="preserve">   State of Michigan Share</t>
  </si>
  <si>
    <t xml:space="preserve">   State of Michigan Additional Restitution (Not Accelerated)</t>
  </si>
  <si>
    <t xml:space="preserve">   Local Government De Minimis Share back to State of Michigan</t>
  </si>
  <si>
    <t>Teva National Settlement</t>
  </si>
  <si>
    <t>Teva National Base Payment</t>
  </si>
  <si>
    <t>Teva National Bonus A</t>
  </si>
  <si>
    <t>Teva National Bonus D</t>
  </si>
  <si>
    <t>Teva National Totals</t>
  </si>
  <si>
    <t>Michigan Allocation Percentage</t>
  </si>
  <si>
    <t xml:space="preserve">  Michigan Local Subdivisions Share</t>
  </si>
  <si>
    <t>Local Subdivision Abatement Amount</t>
  </si>
  <si>
    <t>Allergan National Settlement</t>
  </si>
  <si>
    <t>Allergan National Base Payment</t>
  </si>
  <si>
    <t>Allergan National Bonus A</t>
  </si>
  <si>
    <t>Allergan National Bonus D</t>
  </si>
  <si>
    <t>Allergan National Totals</t>
  </si>
  <si>
    <t>CVS National Settlement</t>
  </si>
  <si>
    <t>CVS National Base Payment</t>
  </si>
  <si>
    <t>CVS National Bonus A</t>
  </si>
  <si>
    <t>CVS National Bonus D</t>
  </si>
  <si>
    <t>CVS National Totals</t>
  </si>
  <si>
    <t>Walmart National Settlement</t>
  </si>
  <si>
    <t>Unknown</t>
  </si>
  <si>
    <t>Walmart National Base Payment</t>
  </si>
  <si>
    <t>Walmart National Bonus A</t>
  </si>
  <si>
    <t>Walmart National Bonus D</t>
  </si>
  <si>
    <t>Walmart National Totals</t>
  </si>
  <si>
    <t>Walgreens National Base Payment</t>
  </si>
  <si>
    <t>Walgreens National Bonus A</t>
  </si>
  <si>
    <t>Walgreens National Bonus D</t>
  </si>
  <si>
    <t>Walgreens National Totals</t>
  </si>
  <si>
    <t>Michigan Additional Settlement</t>
  </si>
  <si>
    <t xml:space="preserve">   Attorney Fees</t>
  </si>
  <si>
    <t xml:space="preserve">   Abatement</t>
  </si>
  <si>
    <t xml:space="preserve">   State of Michigan National Walgreens Settlement Share</t>
  </si>
  <si>
    <t>State of Michigan Abatement Amount</t>
  </si>
  <si>
    <r>
      <rPr>
        <b/>
        <sz val="14"/>
        <color theme="1"/>
        <rFont val="Times New Roman"/>
        <family val="1"/>
      </rPr>
      <t>NOTE</t>
    </r>
    <r>
      <rPr>
        <sz val="14"/>
        <color theme="1"/>
        <rFont val="Times New Roman"/>
        <family val="1"/>
      </rPr>
      <t xml:space="preserve">: If you are a De-minimis Share Local Government, check the individual settlements to ensure accuracy of your payment. De-minimis Share Local Governments are settlement specific and receive their full amount in the first payment from the State share. Afterwards, payments to the De-minimis Share Local Government are routed to back to the State share.  This chart shows both payments.  </t>
    </r>
  </si>
  <si>
    <t>Payment 5a</t>
  </si>
  <si>
    <t>Region / Qualified Block Grantee</t>
  </si>
  <si>
    <t>Non-Regional Apportionment</t>
  </si>
  <si>
    <t>Region 1</t>
  </si>
  <si>
    <t>Region 2</t>
  </si>
  <si>
    <t>Region 3</t>
  </si>
  <si>
    <t>Region 4</t>
  </si>
  <si>
    <t>Region 5</t>
  </si>
  <si>
    <t>Region 6</t>
  </si>
  <si>
    <t>Region 7</t>
  </si>
  <si>
    <t>Mallinckrodt</t>
  </si>
  <si>
    <t>Meijer</t>
  </si>
  <si>
    <t>Mallinckrodt Settlement Payments*</t>
  </si>
  <si>
    <t>Meijer Pharmacy Settlement Payments</t>
  </si>
  <si>
    <t xml:space="preserve">*Mallinckrodt Pharmaceutical was a bankruptcy matter with a national opioid settlement component. Payments were expected for multiple years. Subsequent to approval of the initial bankruptcy plan, Mallinckrodt filed a second bankruptcy that cancelled the expected opioid settlement payments.  No additional payments are anticipated. </t>
  </si>
  <si>
    <t>Kroger Settlement Year-by-Year Payments</t>
  </si>
  <si>
    <t>Kroger National Settlement</t>
  </si>
  <si>
    <t>Kroger National Base Payment</t>
  </si>
  <si>
    <t>Kroger National Bonus A</t>
  </si>
  <si>
    <t>Kroger National Bonus D</t>
  </si>
  <si>
    <t>Kroger National Totals</t>
  </si>
  <si>
    <t>Michigan Additional Remediation Percentage</t>
  </si>
  <si>
    <t xml:space="preserve">   State of Michigan National Kroger Settlement Share</t>
  </si>
  <si>
    <t>Kroger</t>
  </si>
  <si>
    <t>Publicis</t>
  </si>
  <si>
    <t>Publicis Settlement Payments</t>
  </si>
  <si>
    <t>Masters Settlement Year-by-Year Payments</t>
  </si>
  <si>
    <t>Masters</t>
  </si>
  <si>
    <t>Payment 7*</t>
  </si>
  <si>
    <t>Payment 4a</t>
  </si>
  <si>
    <t>Payment 4b</t>
  </si>
  <si>
    <t>*The group of Distributors is made up of Cencora, Cardinal Health, and McKesson.  Section IV.J of the Distributors Settlement Agreement allows any settling Distributor to prepay a payment in whole or part. If prepayment is made, the amount paid is the present value of the year being prepaid.  The value is calculated by using a discount rate of the prime rate plus 1.75%.  Distributors Cencora and Cardinal Health have chosen to prepay Payment 7.  The prepayment was distributed in 2024.</t>
  </si>
  <si>
    <t>Payment 4b (Prepayment)</t>
  </si>
  <si>
    <t>Payment 1a</t>
  </si>
  <si>
    <t>Payment 1b</t>
  </si>
  <si>
    <t xml:space="preserve">  Settlement Fund Administrator and Implementation Costs</t>
  </si>
  <si>
    <t xml:space="preserve">  Additional Restitution</t>
  </si>
  <si>
    <t xml:space="preserve">   Settlement Fund Administrator and Implementation Costs</t>
  </si>
  <si>
    <t xml:space="preserve">   Additional Restitution</t>
  </si>
  <si>
    <t xml:space="preserve">   Total</t>
  </si>
  <si>
    <t>Settlement</t>
  </si>
  <si>
    <t>Multistate Litigation Costs Payments</t>
  </si>
  <si>
    <t>These payments are made to the State of Michigan.  The payments stem from the Multistate Litigation Costs Fund established across multiple settlements. The payments are made with funds from individual settlements, but are not part of that individual settlement's annual payment.</t>
  </si>
  <si>
    <t>Payee</t>
  </si>
  <si>
    <t>Litigation Costs Fund</t>
  </si>
  <si>
    <t>Endo Pharmaceutical Settlement Payments</t>
  </si>
  <si>
    <t>Defendant</t>
  </si>
  <si>
    <t>Payment Number</t>
  </si>
  <si>
    <t>Paid</t>
  </si>
  <si>
    <t>Payment Date</t>
  </si>
  <si>
    <t>Notes</t>
  </si>
  <si>
    <t>McKinsey &amp; Co</t>
  </si>
  <si>
    <t>Payment received by AG's office.  Paid out to Treasury in May 2022 in the amount of $16,145,202.75.  An additional $65,000.00 was paid to Treasury by the AG's office in March 2024.</t>
  </si>
  <si>
    <t>Walgreens Michigan</t>
  </si>
  <si>
    <t>For litigation costs</t>
  </si>
  <si>
    <t>Walgreens National</t>
  </si>
  <si>
    <t>State of Michigan Log of Received Payments</t>
  </si>
  <si>
    <t>Endo Pharmaceutical</t>
  </si>
  <si>
    <t>Subtotal</t>
  </si>
  <si>
    <t>Walgreens Michigan Settlement</t>
  </si>
  <si>
    <t>Walgreens Michigan Settlement*</t>
  </si>
  <si>
    <t>*The Walgreens Michigan Settlement is tied to the Walgreens National Settlement.  This page is broken out for ease of understanding and viewing.</t>
  </si>
  <si>
    <t>Walgreens National Settlement*</t>
  </si>
  <si>
    <t>*The Walgreens National Settlement is tied to the Walgreens Michigan Settlement.  This page is broken out for ease of understanding and viewing.</t>
  </si>
  <si>
    <t xml:space="preserve">   Litigation Costs**</t>
  </si>
  <si>
    <t>**The majority of litigation costs expended were repaid by the Litigation Costs Fund payments.  Please see that tab for more information.</t>
  </si>
  <si>
    <t>Estimate</t>
  </si>
  <si>
    <t>Payment</t>
  </si>
  <si>
    <t>Available to Disburse</t>
  </si>
  <si>
    <t>Special Circumstance Fund</t>
  </si>
  <si>
    <t>Walmart Settlement Year-by-Year Payments</t>
  </si>
  <si>
    <t xml:space="preserve"> </t>
  </si>
  <si>
    <t>Special Circumstance Fund Payments*</t>
  </si>
  <si>
    <t>*A second round application for the Special Circumstance fund will be available in 2030.</t>
  </si>
  <si>
    <t>Walgreens National Settlement Year-by-Year Payments</t>
  </si>
  <si>
    <r>
      <t xml:space="preserve">The worksheets below provide estimates of opioid settlement funding.  These numbers are intended to provide guidance to Michigan governments for opioid settlement payments--they are only estimates.  Payment information is provided for both local governments and the State of Michigan. Where actual payment information is available, columns will reflect "Actual" instead of "Estimate".
Payment schedules and information are estimates as well, and are subject to the logistical requirements of the settlements.
Where a number is listed in </t>
    </r>
    <r>
      <rPr>
        <sz val="14"/>
        <color rgb="FFAD0023"/>
        <rFont val="Times New Roman"/>
        <family val="1"/>
      </rPr>
      <t>red</t>
    </r>
    <r>
      <rPr>
        <sz val="14"/>
        <rFont val="Times New Roman"/>
        <family val="1"/>
      </rPr>
      <t>,</t>
    </r>
    <r>
      <rPr>
        <sz val="14"/>
        <color rgb="FFFF0000"/>
        <rFont val="Times New Roman"/>
        <family val="1"/>
      </rPr>
      <t xml:space="preserve"> </t>
    </r>
    <r>
      <rPr>
        <sz val="14"/>
        <rFont val="Times New Roman"/>
        <family val="1"/>
      </rPr>
      <t xml:space="preserve">it is intended to be negative.  Where a number is listed in black, it is intended to be positive.  A negative number does not mean that local government needs to repay anything.
</t>
    </r>
    <r>
      <rPr>
        <sz val="14"/>
        <color theme="1"/>
        <rFont val="Times New Roman"/>
        <family val="1"/>
      </rPr>
      <t xml:space="preserve">
Each worksheet is password protected to prevent accidents.  The password for each sheet is: aqNs@c%hA1
If you have a question regarding this spreadsheet or the numbers within it, please contact Assistant Attorney General Matt Walker at WalkerM30@michigan.gov or 517-335-7632.
Spreadsheet Last Revised 2/14/2025.  
February 14, 2025 revisisions include:
-State of Michigan Log of Received Payments tab added.  This log provides information on State payments received.
-Walgreens Settlement information was split into separate worksheets for Walgreens Michigan and Walgreens National.
-CVS, Allergan, and Teva actual payments added for second payment.
-Endo Pharmaceutical settlement added.
-Special Circumstance Fund estimates added.
July 17, 2024 Revisions include
-Inclusion of Kroger Settlement Estimates
-Inclusion of Masters Settlement Amounts
-Inclusion of Multistate Litigation Costs Fund
-Inclusion of Distributor Year 7 amounts
-Updates for actual payment amounts for several settlements
-Workbook tabs reorder into alphabetical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</si>
</sst>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8" formatCode="&quot;$&quot;#,##0.00_);[Red]\(&quot;$&quot;#,##0.00\)"/>
    <numFmt numFmtId="164" formatCode="0.0000000000%"/>
    <numFmt numFmtId="165" formatCode="&quot;$&quot;#,##0.00"/>
    <numFmt numFmtId="166" formatCode="\$0.00"/>
    <numFmt numFmtId="167" formatCode="\$#,##0.00"/>
    <numFmt numFmtId="168" formatCode="&quot;$&quot;#,##0.00;&quot;$&quot;\-#,##0.00"/>
    <numFmt numFmtId="169" formatCode="\$000.00"/>
    <numFmt numFmtId="170" formatCode="\$0,000.00"/>
    <numFmt numFmtId="171" formatCode="\$00,000.00"/>
    <numFmt numFmtId="172" formatCode="&quot;$&quot;#,##0.00000"/>
    <numFmt numFmtId="173" formatCode="&quot;$&quot;#,##0.000"/>
    <numFmt numFmtId="174" formatCode="&quot;$&quot;#,##0.0000"/>
  </numFmts>
  <fonts count="33" x14ac:knownFonts="1">
    <font>
      <sz val="11"/>
      <color theme="1"/>
      <name val="Calibri"/>
      <family val="2"/>
      <scheme val="minor"/>
    </font>
    <font>
      <sz val="8"/>
      <name val="Calibri"/>
      <family val="2"/>
      <scheme val="minor"/>
    </font>
    <font>
      <sz val="14"/>
      <name val="Times New Roman"/>
      <family val="1"/>
    </font>
    <font>
      <b/>
      <sz val="11"/>
      <color theme="1"/>
      <name val="Calibri"/>
      <family val="2"/>
      <scheme val="minor"/>
    </font>
    <font>
      <sz val="12"/>
      <name val="Calibri"/>
      <family val="2"/>
    </font>
    <font>
      <sz val="12"/>
      <color theme="1"/>
      <name val="Times New Roman"/>
      <family val="2"/>
    </font>
    <font>
      <sz val="14"/>
      <color theme="1"/>
      <name val="Times New Roman"/>
      <family val="1"/>
    </font>
    <font>
      <sz val="14"/>
      <color rgb="FF000000"/>
      <name val="Times New Roman"/>
      <family val="1"/>
    </font>
    <font>
      <sz val="14"/>
      <color rgb="FF000000"/>
      <name val="Times New Roman"/>
      <family val="2"/>
    </font>
    <font>
      <b/>
      <sz val="14"/>
      <color theme="1"/>
      <name val="Times New Roman"/>
      <family val="1"/>
    </font>
    <font>
      <b/>
      <u/>
      <sz val="20"/>
      <color theme="1"/>
      <name val="Times New Roman"/>
      <family val="1"/>
    </font>
    <font>
      <sz val="14"/>
      <color theme="1"/>
      <name val="Calibri"/>
      <family val="2"/>
      <scheme val="minor"/>
    </font>
    <font>
      <b/>
      <u/>
      <sz val="20"/>
      <color theme="1"/>
      <name val="Calibri"/>
      <family val="2"/>
      <scheme val="minor"/>
    </font>
    <font>
      <b/>
      <u/>
      <sz val="14"/>
      <color theme="1"/>
      <name val="Times New Roman"/>
      <family val="1"/>
    </font>
    <font>
      <sz val="14"/>
      <color rgb="FFFF0000"/>
      <name val="Times New Roman"/>
      <family val="1"/>
    </font>
    <font>
      <b/>
      <sz val="18"/>
      <color theme="1"/>
      <name val="Times New Roman"/>
      <family val="1"/>
    </font>
    <font>
      <b/>
      <u/>
      <sz val="18"/>
      <color theme="1"/>
      <name val="Times New Roman"/>
      <family val="1"/>
    </font>
    <font>
      <sz val="12"/>
      <color theme="1"/>
      <name val="Times New Roman"/>
      <family val="1"/>
    </font>
    <font>
      <b/>
      <sz val="16"/>
      <color theme="1"/>
      <name val="Times New Roman"/>
      <family val="1"/>
    </font>
    <font>
      <sz val="14"/>
      <color rgb="FF1E1E1E"/>
      <name val="Times New Roman"/>
      <family val="1"/>
    </font>
    <font>
      <sz val="14"/>
      <color rgb="FFAD0023"/>
      <name val="Times New Roman"/>
      <family val="2"/>
    </font>
    <font>
      <sz val="14"/>
      <color rgb="FFAD0023"/>
      <name val="Times New Roman"/>
      <family val="1"/>
    </font>
    <font>
      <b/>
      <sz val="14"/>
      <name val="Times New Roman"/>
      <family val="1"/>
    </font>
    <font>
      <sz val="12"/>
      <name val="Arial"/>
      <family val="2"/>
    </font>
    <font>
      <sz val="14"/>
      <color rgb="FFC00000"/>
      <name val="Times New Roman"/>
      <family val="1"/>
    </font>
    <font>
      <sz val="12"/>
      <color theme="1"/>
      <name val="Calibri"/>
      <family val="2"/>
      <scheme val="minor"/>
    </font>
    <font>
      <sz val="12"/>
      <color rgb="FF000000"/>
      <name val="Arial"/>
      <family val="2"/>
    </font>
    <font>
      <sz val="12"/>
      <color theme="1"/>
      <name val="Arial"/>
      <family val="2"/>
    </font>
    <font>
      <b/>
      <sz val="14"/>
      <color rgb="FF000000"/>
      <name val="Times New Roman"/>
      <family val="1"/>
    </font>
    <font>
      <sz val="11"/>
      <color theme="1"/>
      <name val="Times New Roman"/>
      <family val="1"/>
    </font>
    <font>
      <sz val="14"/>
      <color rgb="FF000000"/>
      <name val="Times New Roman"/>
    </font>
    <font>
      <sz val="14"/>
      <name val="Times New Roman"/>
      <family val="2"/>
    </font>
    <font>
      <sz val="14"/>
      <color rgb="FFAD0023"/>
      <name val="Times New Roman"/>
    </font>
  </fonts>
  <fills count="3">
    <fill>
      <patternFill patternType="none"/>
    </fill>
    <fill>
      <patternFill patternType="gray125"/>
    </fill>
    <fill>
      <patternFill patternType="solid">
        <fgColor rgb="FFD3D3D3"/>
        <bgColor rgb="FFD3D3D3"/>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cellStyleXfs>
  <cellXfs count="117">
    <xf numFmtId="0" fontId="0" fillId="0" borderId="0" xfId="0"/>
    <xf numFmtId="0" fontId="3" fillId="0" borderId="0" xfId="0" applyFont="1"/>
    <xf numFmtId="165" fontId="0" fillId="0" borderId="0" xfId="0" applyNumberFormat="1"/>
    <xf numFmtId="0" fontId="6" fillId="0" borderId="0" xfId="0" applyFont="1"/>
    <xf numFmtId="0" fontId="0" fillId="0" borderId="0" xfId="0" applyAlignment="1">
      <alignment horizontal="left"/>
    </xf>
    <xf numFmtId="0" fontId="6" fillId="0" borderId="0" xfId="0" applyFont="1" applyAlignment="1">
      <alignment horizontal="left"/>
    </xf>
    <xf numFmtId="164" fontId="7" fillId="0" borderId="0" xfId="0" applyNumberFormat="1" applyFont="1" applyAlignment="1">
      <alignment horizontal="left" vertical="top"/>
    </xf>
    <xf numFmtId="165" fontId="6" fillId="0" borderId="0" xfId="0" applyNumberFormat="1" applyFont="1"/>
    <xf numFmtId="0" fontId="2" fillId="0" borderId="0" xfId="0" applyFont="1" applyAlignment="1">
      <alignment horizontal="left" vertical="top" wrapText="1"/>
    </xf>
    <xf numFmtId="165" fontId="8" fillId="0" borderId="0" xfId="0" applyNumberFormat="1" applyFont="1" applyAlignment="1">
      <alignment horizontal="left" vertical="top"/>
    </xf>
    <xf numFmtId="8" fontId="6" fillId="0" borderId="0" xfId="0" applyNumberFormat="1" applyFont="1"/>
    <xf numFmtId="0" fontId="9" fillId="0" borderId="0" xfId="0" applyFont="1"/>
    <xf numFmtId="166" fontId="8" fillId="0" borderId="0" xfId="0" applyNumberFormat="1" applyFont="1" applyAlignment="1">
      <alignment vertical="top" shrinkToFit="1"/>
    </xf>
    <xf numFmtId="167" fontId="8" fillId="0" borderId="0" xfId="0" applyNumberFormat="1" applyFont="1" applyAlignment="1">
      <alignment vertical="top" shrinkToFit="1"/>
    </xf>
    <xf numFmtId="0" fontId="2" fillId="0" borderId="0" xfId="0" applyFont="1" applyAlignment="1">
      <alignment horizontal="left" wrapText="1"/>
    </xf>
    <xf numFmtId="165" fontId="9" fillId="0" borderId="0" xfId="0" applyNumberFormat="1" applyFont="1"/>
    <xf numFmtId="164" fontId="7" fillId="0" borderId="0" xfId="0" applyNumberFormat="1" applyFont="1" applyAlignment="1">
      <alignment horizontal="center" vertical="center" wrapText="1"/>
    </xf>
    <xf numFmtId="165" fontId="9" fillId="0" borderId="0" xfId="0" applyNumberFormat="1" applyFont="1" applyAlignment="1">
      <alignment wrapText="1"/>
    </xf>
    <xf numFmtId="0" fontId="9" fillId="0" borderId="0" xfId="0" applyFont="1" applyAlignment="1">
      <alignment horizontal="left"/>
    </xf>
    <xf numFmtId="165" fontId="7" fillId="0" borderId="0" xfId="0" applyNumberFormat="1" applyFont="1" applyAlignment="1">
      <alignment horizontal="left" vertical="top"/>
    </xf>
    <xf numFmtId="0" fontId="11" fillId="0" borderId="0" xfId="0" applyFont="1"/>
    <xf numFmtId="0" fontId="11" fillId="0" borderId="0" xfId="0" applyFont="1" applyAlignment="1">
      <alignment horizontal="left"/>
    </xf>
    <xf numFmtId="0" fontId="10" fillId="0" borderId="0" xfId="0" applyFont="1"/>
    <xf numFmtId="0" fontId="6" fillId="0" borderId="0" xfId="0" applyFont="1" applyAlignment="1">
      <alignment horizontal="right"/>
    </xf>
    <xf numFmtId="164" fontId="7" fillId="0" borderId="0" xfId="0" applyNumberFormat="1" applyFont="1" applyAlignment="1">
      <alignment horizontal="right" vertical="top"/>
    </xf>
    <xf numFmtId="165" fontId="8" fillId="0" borderId="0" xfId="0" applyNumberFormat="1" applyFont="1" applyAlignment="1">
      <alignment horizontal="right" vertical="top"/>
    </xf>
    <xf numFmtId="165" fontId="6" fillId="0" borderId="0" xfId="0" applyNumberFormat="1" applyFont="1" applyAlignment="1">
      <alignment horizontal="right"/>
    </xf>
    <xf numFmtId="0" fontId="0" fillId="0" borderId="0" xfId="0" applyAlignment="1">
      <alignment horizontal="right"/>
    </xf>
    <xf numFmtId="165" fontId="6" fillId="0" borderId="0" xfId="3" applyNumberFormat="1" applyFont="1" applyAlignment="1">
      <alignment horizontal="right" vertical="center"/>
    </xf>
    <xf numFmtId="165" fontId="8" fillId="0" borderId="0" xfId="0" applyNumberFormat="1" applyFont="1" applyAlignment="1">
      <alignment horizontal="right" vertical="center"/>
    </xf>
    <xf numFmtId="165" fontId="7" fillId="0" borderId="0" xfId="0" applyNumberFormat="1" applyFont="1" applyAlignment="1">
      <alignment horizontal="right" vertical="top"/>
    </xf>
    <xf numFmtId="165" fontId="7" fillId="0" borderId="0" xfId="0" applyNumberFormat="1" applyFont="1" applyAlignment="1">
      <alignment horizontal="right" vertical="center"/>
    </xf>
    <xf numFmtId="0" fontId="9" fillId="0" borderId="0" xfId="0" applyFont="1" applyAlignment="1">
      <alignment wrapText="1"/>
    </xf>
    <xf numFmtId="165" fontId="6" fillId="0" borderId="0" xfId="3" applyNumberFormat="1" applyFont="1" applyAlignment="1">
      <alignment horizontal="left" vertical="center"/>
    </xf>
    <xf numFmtId="165" fontId="14" fillId="0" borderId="0" xfId="0" applyNumberFormat="1" applyFont="1"/>
    <xf numFmtId="164" fontId="6" fillId="0" borderId="0" xfId="0" applyNumberFormat="1" applyFont="1" applyAlignment="1">
      <alignment horizontal="left"/>
    </xf>
    <xf numFmtId="10" fontId="6" fillId="0" borderId="0" xfId="0" applyNumberFormat="1" applyFont="1" applyAlignment="1">
      <alignment horizontal="left" vertical="top"/>
    </xf>
    <xf numFmtId="0" fontId="6" fillId="0" borderId="0" xfId="0" applyFont="1" applyAlignment="1">
      <alignment horizontal="left" indent="1"/>
    </xf>
    <xf numFmtId="0" fontId="15" fillId="0" borderId="0" xfId="0" applyFont="1"/>
    <xf numFmtId="165" fontId="6" fillId="0" borderId="0" xfId="0" applyNumberFormat="1" applyFont="1" applyAlignment="1">
      <alignment horizontal="center"/>
    </xf>
    <xf numFmtId="165" fontId="2" fillId="0" borderId="0" xfId="0" applyNumberFormat="1" applyFont="1"/>
    <xf numFmtId="0" fontId="14" fillId="0" borderId="0" xfId="0" applyFont="1"/>
    <xf numFmtId="8" fontId="2" fillId="0" borderId="0" xfId="0" applyNumberFormat="1" applyFont="1"/>
    <xf numFmtId="165" fontId="6" fillId="0" borderId="0" xfId="0" applyNumberFormat="1" applyFont="1" applyAlignment="1">
      <alignment horizontal="left"/>
    </xf>
    <xf numFmtId="0" fontId="17" fillId="0" borderId="0" xfId="0" applyFont="1"/>
    <xf numFmtId="0" fontId="19" fillId="0" borderId="0" xfId="0" applyFont="1"/>
    <xf numFmtId="2" fontId="12" fillId="0" borderId="0" xfId="0" applyNumberFormat="1" applyFont="1" applyAlignment="1">
      <alignment horizontal="left"/>
    </xf>
    <xf numFmtId="165" fontId="20" fillId="0" borderId="0" xfId="0" applyNumberFormat="1" applyFont="1" applyAlignment="1">
      <alignment horizontal="right" vertical="center"/>
    </xf>
    <xf numFmtId="165" fontId="20" fillId="0" borderId="0" xfId="0" applyNumberFormat="1" applyFont="1" applyAlignment="1">
      <alignment horizontal="right" vertical="top"/>
    </xf>
    <xf numFmtId="165" fontId="21" fillId="0" borderId="0" xfId="3" applyNumberFormat="1" applyFont="1" applyAlignment="1">
      <alignment horizontal="right" vertical="center"/>
    </xf>
    <xf numFmtId="165" fontId="21" fillId="0" borderId="0" xfId="0" applyNumberFormat="1" applyFont="1" applyAlignment="1">
      <alignment horizontal="right" vertical="top"/>
    </xf>
    <xf numFmtId="165" fontId="21" fillId="0" borderId="0" xfId="0" applyNumberFormat="1" applyFont="1"/>
    <xf numFmtId="165" fontId="21" fillId="0" borderId="0" xfId="0" applyNumberFormat="1" applyFont="1" applyAlignment="1">
      <alignment horizontal="left" vertical="top"/>
    </xf>
    <xf numFmtId="8" fontId="21" fillId="0" borderId="0" xfId="0" applyNumberFormat="1" applyFont="1"/>
    <xf numFmtId="0" fontId="21" fillId="0" borderId="0" xfId="0" applyFont="1"/>
    <xf numFmtId="0" fontId="6" fillId="0" borderId="0" xfId="0" applyFont="1" applyAlignment="1">
      <alignment vertical="top" wrapText="1"/>
    </xf>
    <xf numFmtId="0" fontId="0" fillId="0" borderId="0" xfId="0" applyAlignment="1">
      <alignment vertical="top" wrapText="1"/>
    </xf>
    <xf numFmtId="2" fontId="16" fillId="0" borderId="0" xfId="0" applyNumberFormat="1" applyFont="1" applyAlignment="1">
      <alignment horizontal="left"/>
    </xf>
    <xf numFmtId="165" fontId="6" fillId="0" borderId="0" xfId="0" applyNumberFormat="1" applyFont="1" applyAlignment="1">
      <alignment horizontal="right" vertical="top"/>
    </xf>
    <xf numFmtId="0" fontId="22" fillId="0" borderId="0" xfId="0" applyFont="1" applyAlignment="1">
      <alignment horizontal="right" vertical="top" wrapText="1"/>
    </xf>
    <xf numFmtId="0" fontId="9" fillId="0" borderId="0" xfId="0" applyFont="1" applyAlignment="1">
      <alignment horizontal="right"/>
    </xf>
    <xf numFmtId="165" fontId="9" fillId="0" borderId="0" xfId="0" applyNumberFormat="1" applyFont="1" applyAlignment="1">
      <alignment horizontal="right"/>
    </xf>
    <xf numFmtId="165" fontId="2" fillId="0" borderId="0" xfId="0" applyNumberFormat="1" applyFont="1" applyAlignment="1">
      <alignment horizontal="right" wrapText="1"/>
    </xf>
    <xf numFmtId="0" fontId="13" fillId="0" borderId="0" xfId="0" applyFont="1" applyAlignment="1">
      <alignment horizontal="left"/>
    </xf>
    <xf numFmtId="165" fontId="13" fillId="0" borderId="0" xfId="0" applyNumberFormat="1" applyFont="1" applyAlignment="1">
      <alignment horizontal="left"/>
    </xf>
    <xf numFmtId="168" fontId="6" fillId="0" borderId="0" xfId="0" applyNumberFormat="1" applyFont="1"/>
    <xf numFmtId="168" fontId="23" fillId="0" borderId="1" xfId="0" applyNumberFormat="1" applyFont="1" applyBorder="1" applyAlignment="1">
      <alignment wrapText="1"/>
    </xf>
    <xf numFmtId="169" fontId="6" fillId="0" borderId="0" xfId="0" applyNumberFormat="1" applyFont="1"/>
    <xf numFmtId="170" fontId="6" fillId="0" borderId="0" xfId="0" applyNumberFormat="1" applyFont="1"/>
    <xf numFmtId="165" fontId="24" fillId="0" borderId="0" xfId="0" applyNumberFormat="1" applyFont="1" applyAlignment="1">
      <alignment horizontal="right" vertical="top"/>
    </xf>
    <xf numFmtId="165" fontId="6" fillId="0" borderId="0" xfId="0" applyNumberFormat="1" applyFont="1" applyAlignment="1">
      <alignment horizontal="right" vertical="center"/>
    </xf>
    <xf numFmtId="8" fontId="21" fillId="0" borderId="0" xfId="0" applyNumberFormat="1" applyFont="1" applyAlignment="1">
      <alignment horizontal="right"/>
    </xf>
    <xf numFmtId="165" fontId="2" fillId="0" borderId="0" xfId="0" applyNumberFormat="1" applyFont="1" applyAlignment="1">
      <alignment horizontal="right" vertical="top" wrapText="1"/>
    </xf>
    <xf numFmtId="165" fontId="6" fillId="0" borderId="0" xfId="7" applyNumberFormat="1" applyFont="1" applyAlignment="1">
      <alignment horizontal="left" vertical="center" indent="1" shrinkToFit="1"/>
    </xf>
    <xf numFmtId="165" fontId="6" fillId="0" borderId="0" xfId="6" applyNumberFormat="1" applyFont="1" applyAlignment="1">
      <alignment horizontal="left" vertical="center" shrinkToFit="1"/>
    </xf>
    <xf numFmtId="0" fontId="9" fillId="0" borderId="0" xfId="0" applyFont="1" applyAlignment="1">
      <alignment horizontal="left" wrapText="1"/>
    </xf>
    <xf numFmtId="171" fontId="6" fillId="0" borderId="0" xfId="0" applyNumberFormat="1" applyFont="1"/>
    <xf numFmtId="168" fontId="2" fillId="0" borderId="0" xfId="0" applyNumberFormat="1" applyFont="1" applyAlignment="1">
      <alignment wrapText="1"/>
    </xf>
    <xf numFmtId="165" fontId="27" fillId="0" borderId="0" xfId="0" applyNumberFormat="1" applyFont="1" applyAlignment="1">
      <alignment horizontal="left"/>
    </xf>
    <xf numFmtId="165" fontId="26" fillId="0" borderId="0" xfId="0" applyNumberFormat="1" applyFont="1" applyAlignment="1">
      <alignment horizontal="left" vertical="center" wrapText="1" readingOrder="1"/>
    </xf>
    <xf numFmtId="0" fontId="27" fillId="0" borderId="0" xfId="0" applyFont="1" applyAlignment="1">
      <alignment horizontal="left"/>
    </xf>
    <xf numFmtId="8" fontId="27" fillId="0" borderId="0" xfId="0" applyNumberFormat="1" applyFont="1" applyAlignment="1">
      <alignment horizontal="left"/>
    </xf>
    <xf numFmtId="8" fontId="6" fillId="0" borderId="0" xfId="0" applyNumberFormat="1" applyFont="1" applyAlignment="1">
      <alignment horizontal="right"/>
    </xf>
    <xf numFmtId="0" fontId="16" fillId="0" borderId="0" xfId="0" applyFont="1"/>
    <xf numFmtId="0" fontId="28" fillId="2" borderId="1" xfId="0" applyFont="1" applyFill="1" applyBorder="1" applyAlignment="1">
      <alignment horizontal="center" vertical="center" wrapText="1" readingOrder="1"/>
    </xf>
    <xf numFmtId="165" fontId="28" fillId="2" borderId="1" xfId="0" applyNumberFormat="1" applyFont="1" applyFill="1" applyBorder="1" applyAlignment="1">
      <alignment horizontal="center" vertical="center" wrapText="1" readingOrder="1"/>
    </xf>
    <xf numFmtId="14" fontId="28" fillId="2" borderId="1" xfId="0" applyNumberFormat="1" applyFont="1" applyFill="1" applyBorder="1" applyAlignment="1">
      <alignment horizontal="center" vertical="center" wrapText="1" readingOrder="1"/>
    </xf>
    <xf numFmtId="0" fontId="7" fillId="0" borderId="0" xfId="0" applyFont="1" applyAlignment="1">
      <alignment horizontal="left" vertical="center" wrapText="1" readingOrder="1"/>
    </xf>
    <xf numFmtId="165" fontId="7" fillId="0" borderId="0" xfId="0" applyNumberFormat="1" applyFont="1" applyAlignment="1">
      <alignment horizontal="left" vertical="center"/>
    </xf>
    <xf numFmtId="14" fontId="6" fillId="0" borderId="0" xfId="0" applyNumberFormat="1" applyFont="1" applyAlignment="1">
      <alignment horizontal="left"/>
    </xf>
    <xf numFmtId="165" fontId="7" fillId="0" borderId="0" xfId="0" applyNumberFormat="1" applyFont="1" applyAlignment="1">
      <alignment horizontal="left" vertical="center" wrapText="1" readingOrder="1"/>
    </xf>
    <xf numFmtId="14" fontId="7" fillId="0" borderId="0" xfId="0" applyNumberFormat="1" applyFont="1" applyAlignment="1">
      <alignment horizontal="left" vertical="center" wrapText="1" readingOrder="1"/>
    </xf>
    <xf numFmtId="165" fontId="7" fillId="0" borderId="0" xfId="0" applyNumberFormat="1" applyFont="1" applyAlignment="1">
      <alignment horizontal="left" vertical="center" wrapText="1"/>
    </xf>
    <xf numFmtId="8" fontId="6" fillId="0" borderId="0" xfId="0" applyNumberFormat="1" applyFont="1" applyAlignment="1">
      <alignment horizontal="left"/>
    </xf>
    <xf numFmtId="7" fontId="6" fillId="0" borderId="0" xfId="6" applyNumberFormat="1" applyFont="1" applyAlignment="1">
      <alignment horizontal="left" vertical="center"/>
    </xf>
    <xf numFmtId="0" fontId="29" fillId="0" borderId="0" xfId="0" applyFont="1"/>
    <xf numFmtId="2" fontId="13" fillId="0" borderId="0" xfId="0" applyNumberFormat="1" applyFont="1" applyAlignment="1">
      <alignment horizontal="left"/>
    </xf>
    <xf numFmtId="172" fontId="6" fillId="0" borderId="0" xfId="0" applyNumberFormat="1" applyFont="1"/>
    <xf numFmtId="173" fontId="6" fillId="0" borderId="0" xfId="0" applyNumberFormat="1" applyFont="1"/>
    <xf numFmtId="174" fontId="6" fillId="0" borderId="0" xfId="0" applyNumberFormat="1" applyFont="1"/>
    <xf numFmtId="165" fontId="30" fillId="0" borderId="0" xfId="0" applyNumberFormat="1" applyFont="1" applyAlignment="1">
      <alignment horizontal="right" vertical="top"/>
    </xf>
    <xf numFmtId="165" fontId="31" fillId="0" borderId="0" xfId="0" applyNumberFormat="1" applyFont="1" applyAlignment="1">
      <alignment horizontal="right" vertical="top"/>
    </xf>
    <xf numFmtId="165" fontId="32" fillId="0" borderId="0" xfId="0" applyNumberFormat="1" applyFont="1" applyAlignment="1">
      <alignment horizontal="right" vertical="top"/>
    </xf>
    <xf numFmtId="2" fontId="17" fillId="0" borderId="0" xfId="0" applyNumberFormat="1" applyFont="1" applyAlignment="1">
      <alignment horizontal="left"/>
    </xf>
    <xf numFmtId="0" fontId="0" fillId="0" borderId="0" xfId="0"/>
    <xf numFmtId="0" fontId="18" fillId="0" borderId="0" xfId="0" applyFont="1" applyAlignment="1">
      <alignment horizontal="center"/>
    </xf>
    <xf numFmtId="0" fontId="6" fillId="0" borderId="0" xfId="0" applyFont="1" applyAlignment="1">
      <alignment vertical="top" wrapText="1"/>
    </xf>
    <xf numFmtId="0" fontId="19" fillId="0" borderId="0" xfId="0" applyFont="1" applyProtection="1">
      <protection locked="0"/>
    </xf>
    <xf numFmtId="0" fontId="6" fillId="0" borderId="0" xfId="0" applyFont="1" applyProtection="1">
      <protection locked="0"/>
    </xf>
    <xf numFmtId="0" fontId="6" fillId="0" borderId="0" xfId="0" applyFont="1" applyAlignment="1">
      <alignment vertical="center" wrapText="1"/>
    </xf>
    <xf numFmtId="0" fontId="0" fillId="0" borderId="0" xfId="0" applyAlignment="1">
      <alignment vertical="center" wrapText="1"/>
    </xf>
    <xf numFmtId="2" fontId="10" fillId="0" borderId="0" xfId="0" applyNumberFormat="1" applyFont="1" applyAlignment="1">
      <alignment horizontal="left"/>
    </xf>
    <xf numFmtId="2" fontId="12" fillId="0" borderId="0" xfId="0" applyNumberFormat="1" applyFont="1" applyAlignment="1">
      <alignment horizontal="left"/>
    </xf>
    <xf numFmtId="0" fontId="0" fillId="0" borderId="0" xfId="0" applyAlignment="1">
      <alignment vertical="top" wrapText="1"/>
    </xf>
    <xf numFmtId="2" fontId="16" fillId="0" borderId="0" xfId="0" applyNumberFormat="1" applyFont="1" applyAlignment="1">
      <alignment horizontal="left"/>
    </xf>
    <xf numFmtId="0" fontId="17" fillId="0" borderId="0" xfId="0" applyFont="1" applyAlignment="1">
      <alignment vertical="top" wrapText="1"/>
    </xf>
    <xf numFmtId="0" fontId="25" fillId="0" borderId="0" xfId="0" applyFont="1" applyAlignment="1">
      <alignment vertical="top" wrapText="1"/>
    </xf>
  </cellXfs>
  <cellStyles count="8">
    <cellStyle name="Normal" xfId="0" builtinId="0"/>
    <cellStyle name="Normal 2" xfId="1" xr:uid="{199F5F6D-995C-46B4-B270-E3361957A6B2}"/>
    <cellStyle name="Normal 2 11" xfId="3" xr:uid="{E50E02AA-7342-47FD-9115-C0579FCEA2A7}"/>
    <cellStyle name="Normal 2 13" xfId="7" xr:uid="{5BC01712-D270-4246-AD7A-1961F851A1B0}"/>
    <cellStyle name="Normal 2 2" xfId="6" xr:uid="{DE9A4C52-F209-4282-BE04-16EE1D3EC216}"/>
    <cellStyle name="Normal 2 4" xfId="4" xr:uid="{E5AB9E20-742C-4702-9B57-8EEF673EBECE}"/>
    <cellStyle name="Normal 3" xfId="2" xr:uid="{764C02F6-C119-4834-AA77-4B23DB4CF206}"/>
    <cellStyle name="Percent 2" xfId="5" xr:uid="{46115CF6-8783-4524-8032-EEE59290C164}"/>
  </cellStyles>
  <dxfs count="0"/>
  <tableStyles count="0" defaultTableStyle="TableStyleMedium2" defaultPivotStyle="PivotStyleLight16"/>
  <colors>
    <mruColors>
      <color rgb="FFAD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342901</xdr:colOff>
      <xdr:row>0</xdr:row>
      <xdr:rowOff>142876</xdr:rowOff>
    </xdr:from>
    <xdr:to>
      <xdr:col>6</xdr:col>
      <xdr:colOff>209550</xdr:colOff>
      <xdr:row>6</xdr:row>
      <xdr:rowOff>85725</xdr:rowOff>
    </xdr:to>
    <xdr:pic>
      <xdr:nvPicPr>
        <xdr:cNvPr id="2" name="Picture 1" descr="Attorney General Seal of Michiga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301" y="142876"/>
          <a:ext cx="1085849" cy="1085849"/>
        </a:xfrm>
        <a:prstGeom prst="rect">
          <a:avLst/>
        </a:prstGeom>
        <a:effectLst>
          <a:outerShdw blurRad="50800" dist="38100" algn="l" rotWithShape="0">
            <a:prstClr val="black">
              <a:alpha val="40000"/>
            </a:prstClr>
          </a:outerShdw>
        </a:effec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8D3A-6BDA-4F89-BFEA-26E540D81539}">
  <sheetPr codeName="Sheet17"/>
  <dimension ref="A1:L61"/>
  <sheetViews>
    <sheetView tabSelected="1" workbookViewId="0">
      <selection activeCell="A12" sqref="A12:L61"/>
    </sheetView>
  </sheetViews>
  <sheetFormatPr defaultRowHeight="14.4" x14ac:dyDescent="0.3"/>
  <cols>
    <col min="12" max="12" width="30.88671875" customWidth="1"/>
  </cols>
  <sheetData>
    <row r="1" spans="1:12" x14ac:dyDescent="0.3">
      <c r="A1" s="104"/>
      <c r="B1" s="104"/>
      <c r="C1" s="104"/>
      <c r="D1" s="104"/>
      <c r="E1" s="104"/>
      <c r="F1" s="104"/>
      <c r="G1" s="104"/>
      <c r="H1" s="104"/>
      <c r="I1" s="104"/>
      <c r="J1" s="104"/>
      <c r="K1" s="104"/>
    </row>
    <row r="8" spans="1:12" ht="20.399999999999999" x14ac:dyDescent="0.35">
      <c r="A8" s="105" t="s">
        <v>0</v>
      </c>
      <c r="B8" s="105"/>
      <c r="C8" s="105"/>
      <c r="D8" s="105"/>
      <c r="E8" s="105"/>
      <c r="F8" s="105"/>
      <c r="G8" s="105"/>
      <c r="H8" s="105"/>
      <c r="I8" s="105"/>
      <c r="J8" s="105"/>
      <c r="K8" s="105"/>
      <c r="L8" s="104"/>
    </row>
    <row r="10" spans="1:12" ht="17.399999999999999" x14ac:dyDescent="0.3">
      <c r="A10" s="11" t="s">
        <v>1</v>
      </c>
    </row>
    <row r="12" spans="1:12" ht="15" customHeight="1" x14ac:dyDescent="0.3">
      <c r="A12" s="106" t="s">
        <v>483</v>
      </c>
      <c r="B12" s="106"/>
      <c r="C12" s="106"/>
      <c r="D12" s="106"/>
      <c r="E12" s="106"/>
      <c r="F12" s="106"/>
      <c r="G12" s="106"/>
      <c r="H12" s="106"/>
      <c r="I12" s="106"/>
      <c r="J12" s="106"/>
      <c r="K12" s="106"/>
      <c r="L12" s="106"/>
    </row>
    <row r="13" spans="1:12" x14ac:dyDescent="0.3">
      <c r="A13" s="106"/>
      <c r="B13" s="106"/>
      <c r="C13" s="106"/>
      <c r="D13" s="106"/>
      <c r="E13" s="106"/>
      <c r="F13" s="106"/>
      <c r="G13" s="106"/>
      <c r="H13" s="106"/>
      <c r="I13" s="106"/>
      <c r="J13" s="106"/>
      <c r="K13" s="106"/>
      <c r="L13" s="106"/>
    </row>
    <row r="14" spans="1:12" x14ac:dyDescent="0.3">
      <c r="A14" s="106"/>
      <c r="B14" s="106"/>
      <c r="C14" s="106"/>
      <c r="D14" s="106"/>
      <c r="E14" s="106"/>
      <c r="F14" s="106"/>
      <c r="G14" s="106"/>
      <c r="H14" s="106"/>
      <c r="I14" s="106"/>
      <c r="J14" s="106"/>
      <c r="K14" s="106"/>
      <c r="L14" s="106"/>
    </row>
    <row r="15" spans="1:12" x14ac:dyDescent="0.3">
      <c r="A15" s="106"/>
      <c r="B15" s="106"/>
      <c r="C15" s="106"/>
      <c r="D15" s="106"/>
      <c r="E15" s="106"/>
      <c r="F15" s="106"/>
      <c r="G15" s="106"/>
      <c r="H15" s="106"/>
      <c r="I15" s="106"/>
      <c r="J15" s="106"/>
      <c r="K15" s="106"/>
      <c r="L15" s="106"/>
    </row>
    <row r="16" spans="1:12" x14ac:dyDescent="0.3">
      <c r="A16" s="106"/>
      <c r="B16" s="106"/>
      <c r="C16" s="106"/>
      <c r="D16" s="106"/>
      <c r="E16" s="106"/>
      <c r="F16" s="106"/>
      <c r="G16" s="106"/>
      <c r="H16" s="106"/>
      <c r="I16" s="106"/>
      <c r="J16" s="106"/>
      <c r="K16" s="106"/>
      <c r="L16" s="106"/>
    </row>
    <row r="17" spans="1:12" x14ac:dyDescent="0.3">
      <c r="A17" s="106"/>
      <c r="B17" s="106"/>
      <c r="C17" s="106"/>
      <c r="D17" s="106"/>
      <c r="E17" s="106"/>
      <c r="F17" s="106"/>
      <c r="G17" s="106"/>
      <c r="H17" s="106"/>
      <c r="I17" s="106"/>
      <c r="J17" s="106"/>
      <c r="K17" s="106"/>
      <c r="L17" s="106"/>
    </row>
    <row r="18" spans="1:12" x14ac:dyDescent="0.3">
      <c r="A18" s="106"/>
      <c r="B18" s="106"/>
      <c r="C18" s="106"/>
      <c r="D18" s="106"/>
      <c r="E18" s="106"/>
      <c r="F18" s="106"/>
      <c r="G18" s="106"/>
      <c r="H18" s="106"/>
      <c r="I18" s="106"/>
      <c r="J18" s="106"/>
      <c r="K18" s="106"/>
      <c r="L18" s="106"/>
    </row>
    <row r="19" spans="1:12" x14ac:dyDescent="0.3">
      <c r="A19" s="106"/>
      <c r="B19" s="106"/>
      <c r="C19" s="106"/>
      <c r="D19" s="106"/>
      <c r="E19" s="106"/>
      <c r="F19" s="106"/>
      <c r="G19" s="106"/>
      <c r="H19" s="106"/>
      <c r="I19" s="106"/>
      <c r="J19" s="106"/>
      <c r="K19" s="106"/>
      <c r="L19" s="106"/>
    </row>
    <row r="20" spans="1:12" x14ac:dyDescent="0.3">
      <c r="A20" s="106"/>
      <c r="B20" s="106"/>
      <c r="C20" s="106"/>
      <c r="D20" s="106"/>
      <c r="E20" s="106"/>
      <c r="F20" s="106"/>
      <c r="G20" s="106"/>
      <c r="H20" s="106"/>
      <c r="I20" s="106"/>
      <c r="J20" s="106"/>
      <c r="K20" s="106"/>
      <c r="L20" s="106"/>
    </row>
    <row r="21" spans="1:12" x14ac:dyDescent="0.3">
      <c r="A21" s="106"/>
      <c r="B21" s="106"/>
      <c r="C21" s="106"/>
      <c r="D21" s="106"/>
      <c r="E21" s="106"/>
      <c r="F21" s="106"/>
      <c r="G21" s="106"/>
      <c r="H21" s="106"/>
      <c r="I21" s="106"/>
      <c r="J21" s="106"/>
      <c r="K21" s="106"/>
      <c r="L21" s="106"/>
    </row>
    <row r="22" spans="1:12" ht="409.5" customHeight="1" x14ac:dyDescent="0.3">
      <c r="A22" s="106"/>
      <c r="B22" s="106"/>
      <c r="C22" s="106"/>
      <c r="D22" s="106"/>
      <c r="E22" s="106"/>
      <c r="F22" s="106"/>
      <c r="G22" s="106"/>
      <c r="H22" s="106"/>
      <c r="I22" s="106"/>
      <c r="J22" s="106"/>
      <c r="K22" s="106"/>
      <c r="L22" s="106"/>
    </row>
    <row r="23" spans="1:12" x14ac:dyDescent="0.3">
      <c r="A23" s="104"/>
      <c r="B23" s="104"/>
      <c r="C23" s="104"/>
      <c r="D23" s="104"/>
      <c r="E23" s="104"/>
      <c r="F23" s="104"/>
      <c r="G23" s="104"/>
      <c r="H23" s="104"/>
      <c r="I23" s="104"/>
      <c r="J23" s="104"/>
      <c r="K23" s="104"/>
      <c r="L23" s="104"/>
    </row>
    <row r="24" spans="1:12" x14ac:dyDescent="0.3">
      <c r="A24" s="104"/>
      <c r="B24" s="104"/>
      <c r="C24" s="104"/>
      <c r="D24" s="104"/>
      <c r="E24" s="104"/>
      <c r="F24" s="104"/>
      <c r="G24" s="104"/>
      <c r="H24" s="104"/>
      <c r="I24" s="104"/>
      <c r="J24" s="104"/>
      <c r="K24" s="104"/>
      <c r="L24" s="104"/>
    </row>
    <row r="25" spans="1:12" x14ac:dyDescent="0.3">
      <c r="A25" s="104"/>
      <c r="B25" s="104"/>
      <c r="C25" s="104"/>
      <c r="D25" s="104"/>
      <c r="E25" s="104"/>
      <c r="F25" s="104"/>
      <c r="G25" s="104"/>
      <c r="H25" s="104"/>
      <c r="I25" s="104"/>
      <c r="J25" s="104"/>
      <c r="K25" s="104"/>
      <c r="L25" s="104"/>
    </row>
    <row r="26" spans="1:12" x14ac:dyDescent="0.3">
      <c r="A26" s="104"/>
      <c r="B26" s="104"/>
      <c r="C26" s="104"/>
      <c r="D26" s="104"/>
      <c r="E26" s="104"/>
      <c r="F26" s="104"/>
      <c r="G26" s="104"/>
      <c r="H26" s="104"/>
      <c r="I26" s="104"/>
      <c r="J26" s="104"/>
      <c r="K26" s="104"/>
      <c r="L26" s="104"/>
    </row>
    <row r="27" spans="1:12" x14ac:dyDescent="0.3">
      <c r="A27" s="104"/>
      <c r="B27" s="104"/>
      <c r="C27" s="104"/>
      <c r="D27" s="104"/>
      <c r="E27" s="104"/>
      <c r="F27" s="104"/>
      <c r="G27" s="104"/>
      <c r="H27" s="104"/>
      <c r="I27" s="104"/>
      <c r="J27" s="104"/>
      <c r="K27" s="104"/>
      <c r="L27" s="104"/>
    </row>
    <row r="28" spans="1:12" x14ac:dyDescent="0.3">
      <c r="A28" s="104"/>
      <c r="B28" s="104"/>
      <c r="C28" s="104"/>
      <c r="D28" s="104"/>
      <c r="E28" s="104"/>
      <c r="F28" s="104"/>
      <c r="G28" s="104"/>
      <c r="H28" s="104"/>
      <c r="I28" s="104"/>
      <c r="J28" s="104"/>
      <c r="K28" s="104"/>
      <c r="L28" s="104"/>
    </row>
    <row r="29" spans="1:12" x14ac:dyDescent="0.3">
      <c r="A29" s="104"/>
      <c r="B29" s="104"/>
      <c r="C29" s="104"/>
      <c r="D29" s="104"/>
      <c r="E29" s="104"/>
      <c r="F29" s="104"/>
      <c r="G29" s="104"/>
      <c r="H29" s="104"/>
      <c r="I29" s="104"/>
      <c r="J29" s="104"/>
      <c r="K29" s="104"/>
      <c r="L29" s="104"/>
    </row>
    <row r="30" spans="1:12" x14ac:dyDescent="0.3">
      <c r="A30" s="104"/>
      <c r="B30" s="104"/>
      <c r="C30" s="104"/>
      <c r="D30" s="104"/>
      <c r="E30" s="104"/>
      <c r="F30" s="104"/>
      <c r="G30" s="104"/>
      <c r="H30" s="104"/>
      <c r="I30" s="104"/>
      <c r="J30" s="104"/>
      <c r="K30" s="104"/>
      <c r="L30" s="104"/>
    </row>
    <row r="31" spans="1:12" x14ac:dyDescent="0.3">
      <c r="A31" s="104"/>
      <c r="B31" s="104"/>
      <c r="C31" s="104"/>
      <c r="D31" s="104"/>
      <c r="E31" s="104"/>
      <c r="F31" s="104"/>
      <c r="G31" s="104"/>
      <c r="H31" s="104"/>
      <c r="I31" s="104"/>
      <c r="J31" s="104"/>
      <c r="K31" s="104"/>
      <c r="L31" s="104"/>
    </row>
    <row r="32" spans="1:12" x14ac:dyDescent="0.3">
      <c r="A32" s="104"/>
      <c r="B32" s="104"/>
      <c r="C32" s="104"/>
      <c r="D32" s="104"/>
      <c r="E32" s="104"/>
      <c r="F32" s="104"/>
      <c r="G32" s="104"/>
      <c r="H32" s="104"/>
      <c r="I32" s="104"/>
      <c r="J32" s="104"/>
      <c r="K32" s="104"/>
      <c r="L32" s="104"/>
    </row>
    <row r="33" spans="1:12" x14ac:dyDescent="0.3">
      <c r="A33" s="104"/>
      <c r="B33" s="104"/>
      <c r="C33" s="104"/>
      <c r="D33" s="104"/>
      <c r="E33" s="104"/>
      <c r="F33" s="104"/>
      <c r="G33" s="104"/>
      <c r="H33" s="104"/>
      <c r="I33" s="104"/>
      <c r="J33" s="104"/>
      <c r="K33" s="104"/>
      <c r="L33" s="104"/>
    </row>
    <row r="34" spans="1:12" x14ac:dyDescent="0.3">
      <c r="A34" s="104"/>
      <c r="B34" s="104"/>
      <c r="C34" s="104"/>
      <c r="D34" s="104"/>
      <c r="E34" s="104"/>
      <c r="F34" s="104"/>
      <c r="G34" s="104"/>
      <c r="H34" s="104"/>
      <c r="I34" s="104"/>
      <c r="J34" s="104"/>
      <c r="K34" s="104"/>
      <c r="L34" s="104"/>
    </row>
    <row r="35" spans="1:12" x14ac:dyDescent="0.3">
      <c r="A35" s="104"/>
      <c r="B35" s="104"/>
      <c r="C35" s="104"/>
      <c r="D35" s="104"/>
      <c r="E35" s="104"/>
      <c r="F35" s="104"/>
      <c r="G35" s="104"/>
      <c r="H35" s="104"/>
      <c r="I35" s="104"/>
      <c r="J35" s="104"/>
      <c r="K35" s="104"/>
      <c r="L35" s="104"/>
    </row>
    <row r="36" spans="1:12" x14ac:dyDescent="0.3">
      <c r="A36" s="104"/>
      <c r="B36" s="104"/>
      <c r="C36" s="104"/>
      <c r="D36" s="104"/>
      <c r="E36" s="104"/>
      <c r="F36" s="104"/>
      <c r="G36" s="104"/>
      <c r="H36" s="104"/>
      <c r="I36" s="104"/>
      <c r="J36" s="104"/>
      <c r="K36" s="104"/>
      <c r="L36" s="104"/>
    </row>
    <row r="37" spans="1:12" x14ac:dyDescent="0.3">
      <c r="A37" s="104"/>
      <c r="B37" s="104"/>
      <c r="C37" s="104"/>
      <c r="D37" s="104"/>
      <c r="E37" s="104"/>
      <c r="F37" s="104"/>
      <c r="G37" s="104"/>
      <c r="H37" s="104"/>
      <c r="I37" s="104"/>
      <c r="J37" s="104"/>
      <c r="K37" s="104"/>
      <c r="L37" s="104"/>
    </row>
    <row r="38" spans="1:12" x14ac:dyDescent="0.3">
      <c r="A38" s="104"/>
      <c r="B38" s="104"/>
      <c r="C38" s="104"/>
      <c r="D38" s="104"/>
      <c r="E38" s="104"/>
      <c r="F38" s="104"/>
      <c r="G38" s="104"/>
      <c r="H38" s="104"/>
      <c r="I38" s="104"/>
      <c r="J38" s="104"/>
      <c r="K38" s="104"/>
      <c r="L38" s="104"/>
    </row>
    <row r="39" spans="1:12" x14ac:dyDescent="0.3">
      <c r="A39" s="104"/>
      <c r="B39" s="104"/>
      <c r="C39" s="104"/>
      <c r="D39" s="104"/>
      <c r="E39" s="104"/>
      <c r="F39" s="104"/>
      <c r="G39" s="104"/>
      <c r="H39" s="104"/>
      <c r="I39" s="104"/>
      <c r="J39" s="104"/>
      <c r="K39" s="104"/>
      <c r="L39" s="104"/>
    </row>
    <row r="40" spans="1:12" x14ac:dyDescent="0.3">
      <c r="A40" s="104"/>
      <c r="B40" s="104"/>
      <c r="C40" s="104"/>
      <c r="D40" s="104"/>
      <c r="E40" s="104"/>
      <c r="F40" s="104"/>
      <c r="G40" s="104"/>
      <c r="H40" s="104"/>
      <c r="I40" s="104"/>
      <c r="J40" s="104"/>
      <c r="K40" s="104"/>
      <c r="L40" s="104"/>
    </row>
    <row r="41" spans="1:12" x14ac:dyDescent="0.3">
      <c r="A41" s="104"/>
      <c r="B41" s="104"/>
      <c r="C41" s="104"/>
      <c r="D41" s="104"/>
      <c r="E41" s="104"/>
      <c r="F41" s="104"/>
      <c r="G41" s="104"/>
      <c r="H41" s="104"/>
      <c r="I41" s="104"/>
      <c r="J41" s="104"/>
      <c r="K41" s="104"/>
      <c r="L41" s="104"/>
    </row>
    <row r="42" spans="1:12" x14ac:dyDescent="0.3">
      <c r="A42" s="104"/>
      <c r="B42" s="104"/>
      <c r="C42" s="104"/>
      <c r="D42" s="104"/>
      <c r="E42" s="104"/>
      <c r="F42" s="104"/>
      <c r="G42" s="104"/>
      <c r="H42" s="104"/>
      <c r="I42" s="104"/>
      <c r="J42" s="104"/>
      <c r="K42" s="104"/>
      <c r="L42" s="104"/>
    </row>
    <row r="43" spans="1:12" x14ac:dyDescent="0.3">
      <c r="A43" s="104"/>
      <c r="B43" s="104"/>
      <c r="C43" s="104"/>
      <c r="D43" s="104"/>
      <c r="E43" s="104"/>
      <c r="F43" s="104"/>
      <c r="G43" s="104"/>
      <c r="H43" s="104"/>
      <c r="I43" s="104"/>
      <c r="J43" s="104"/>
      <c r="K43" s="104"/>
      <c r="L43" s="104"/>
    </row>
    <row r="44" spans="1:12" x14ac:dyDescent="0.3">
      <c r="A44" s="104"/>
      <c r="B44" s="104"/>
      <c r="C44" s="104"/>
      <c r="D44" s="104"/>
      <c r="E44" s="104"/>
      <c r="F44" s="104"/>
      <c r="G44" s="104"/>
      <c r="H44" s="104"/>
      <c r="I44" s="104"/>
      <c r="J44" s="104"/>
      <c r="K44" s="104"/>
      <c r="L44" s="104"/>
    </row>
    <row r="45" spans="1:12" x14ac:dyDescent="0.3">
      <c r="A45" s="104"/>
      <c r="B45" s="104"/>
      <c r="C45" s="104"/>
      <c r="D45" s="104"/>
      <c r="E45" s="104"/>
      <c r="F45" s="104"/>
      <c r="G45" s="104"/>
      <c r="H45" s="104"/>
      <c r="I45" s="104"/>
      <c r="J45" s="104"/>
      <c r="K45" s="104"/>
      <c r="L45" s="104"/>
    </row>
    <row r="46" spans="1:12" x14ac:dyDescent="0.3">
      <c r="A46" s="104"/>
      <c r="B46" s="104"/>
      <c r="C46" s="104"/>
      <c r="D46" s="104"/>
      <c r="E46" s="104"/>
      <c r="F46" s="104"/>
      <c r="G46" s="104"/>
      <c r="H46" s="104"/>
      <c r="I46" s="104"/>
      <c r="J46" s="104"/>
      <c r="K46" s="104"/>
      <c r="L46" s="104"/>
    </row>
    <row r="47" spans="1:12" x14ac:dyDescent="0.3">
      <c r="A47" s="104"/>
      <c r="B47" s="104"/>
      <c r="C47" s="104"/>
      <c r="D47" s="104"/>
      <c r="E47" s="104"/>
      <c r="F47" s="104"/>
      <c r="G47" s="104"/>
      <c r="H47" s="104"/>
      <c r="I47" s="104"/>
      <c r="J47" s="104"/>
      <c r="K47" s="104"/>
      <c r="L47" s="104"/>
    </row>
    <row r="48" spans="1:12" x14ac:dyDescent="0.3">
      <c r="A48" s="104"/>
      <c r="B48" s="104"/>
      <c r="C48" s="104"/>
      <c r="D48" s="104"/>
      <c r="E48" s="104"/>
      <c r="F48" s="104"/>
      <c r="G48" s="104"/>
      <c r="H48" s="104"/>
      <c r="I48" s="104"/>
      <c r="J48" s="104"/>
      <c r="K48" s="104"/>
      <c r="L48" s="104"/>
    </row>
    <row r="49" spans="1:12" x14ac:dyDescent="0.3">
      <c r="A49" s="104"/>
      <c r="B49" s="104"/>
      <c r="C49" s="104"/>
      <c r="D49" s="104"/>
      <c r="E49" s="104"/>
      <c r="F49" s="104"/>
      <c r="G49" s="104"/>
      <c r="H49" s="104"/>
      <c r="I49" s="104"/>
      <c r="J49" s="104"/>
      <c r="K49" s="104"/>
      <c r="L49" s="104"/>
    </row>
    <row r="50" spans="1:12" x14ac:dyDescent="0.3">
      <c r="A50" s="104"/>
      <c r="B50" s="104"/>
      <c r="C50" s="104"/>
      <c r="D50" s="104"/>
      <c r="E50" s="104"/>
      <c r="F50" s="104"/>
      <c r="G50" s="104"/>
      <c r="H50" s="104"/>
      <c r="I50" s="104"/>
      <c r="J50" s="104"/>
      <c r="K50" s="104"/>
      <c r="L50" s="104"/>
    </row>
    <row r="51" spans="1:12" x14ac:dyDescent="0.3">
      <c r="A51" s="104"/>
      <c r="B51" s="104"/>
      <c r="C51" s="104"/>
      <c r="D51" s="104"/>
      <c r="E51" s="104"/>
      <c r="F51" s="104"/>
      <c r="G51" s="104"/>
      <c r="H51" s="104"/>
      <c r="I51" s="104"/>
      <c r="J51" s="104"/>
      <c r="K51" s="104"/>
      <c r="L51" s="104"/>
    </row>
    <row r="52" spans="1:12" x14ac:dyDescent="0.3">
      <c r="A52" s="104"/>
      <c r="B52" s="104"/>
      <c r="C52" s="104"/>
      <c r="D52" s="104"/>
      <c r="E52" s="104"/>
      <c r="F52" s="104"/>
      <c r="G52" s="104"/>
      <c r="H52" s="104"/>
      <c r="I52" s="104"/>
      <c r="J52" s="104"/>
      <c r="K52" s="104"/>
      <c r="L52" s="104"/>
    </row>
    <row r="53" spans="1:12" x14ac:dyDescent="0.3">
      <c r="A53" s="104"/>
      <c r="B53" s="104"/>
      <c r="C53" s="104"/>
      <c r="D53" s="104"/>
      <c r="E53" s="104"/>
      <c r="F53" s="104"/>
      <c r="G53" s="104"/>
      <c r="H53" s="104"/>
      <c r="I53" s="104"/>
      <c r="J53" s="104"/>
      <c r="K53" s="104"/>
      <c r="L53" s="104"/>
    </row>
    <row r="54" spans="1:12" x14ac:dyDescent="0.3">
      <c r="A54" s="104"/>
      <c r="B54" s="104"/>
      <c r="C54" s="104"/>
      <c r="D54" s="104"/>
      <c r="E54" s="104"/>
      <c r="F54" s="104"/>
      <c r="G54" s="104"/>
      <c r="H54" s="104"/>
      <c r="I54" s="104"/>
      <c r="J54" s="104"/>
      <c r="K54" s="104"/>
      <c r="L54" s="104"/>
    </row>
    <row r="55" spans="1:12" x14ac:dyDescent="0.3">
      <c r="A55" s="104"/>
      <c r="B55" s="104"/>
      <c r="C55" s="104"/>
      <c r="D55" s="104"/>
      <c r="E55" s="104"/>
      <c r="F55" s="104"/>
      <c r="G55" s="104"/>
      <c r="H55" s="104"/>
      <c r="I55" s="104"/>
      <c r="J55" s="104"/>
      <c r="K55" s="104"/>
      <c r="L55" s="104"/>
    </row>
    <row r="56" spans="1:12" x14ac:dyDescent="0.3">
      <c r="A56" s="104"/>
      <c r="B56" s="104"/>
      <c r="C56" s="104"/>
      <c r="D56" s="104"/>
      <c r="E56" s="104"/>
      <c r="F56" s="104"/>
      <c r="G56" s="104"/>
      <c r="H56" s="104"/>
      <c r="I56" s="104"/>
      <c r="J56" s="104"/>
      <c r="K56" s="104"/>
      <c r="L56" s="104"/>
    </row>
    <row r="57" spans="1:12" x14ac:dyDescent="0.3">
      <c r="A57" s="104"/>
      <c r="B57" s="104"/>
      <c r="C57" s="104"/>
      <c r="D57" s="104"/>
      <c r="E57" s="104"/>
      <c r="F57" s="104"/>
      <c r="G57" s="104"/>
      <c r="H57" s="104"/>
      <c r="I57" s="104"/>
      <c r="J57" s="104"/>
      <c r="K57" s="104"/>
      <c r="L57" s="104"/>
    </row>
    <row r="58" spans="1:12" x14ac:dyDescent="0.3">
      <c r="A58" s="104"/>
      <c r="B58" s="104"/>
      <c r="C58" s="104"/>
      <c r="D58" s="104"/>
      <c r="E58" s="104"/>
      <c r="F58" s="104"/>
      <c r="G58" s="104"/>
      <c r="H58" s="104"/>
      <c r="I58" s="104"/>
      <c r="J58" s="104"/>
      <c r="K58" s="104"/>
      <c r="L58" s="104"/>
    </row>
    <row r="59" spans="1:12" x14ac:dyDescent="0.3">
      <c r="A59" s="104"/>
      <c r="B59" s="104"/>
      <c r="C59" s="104"/>
      <c r="D59" s="104"/>
      <c r="E59" s="104"/>
      <c r="F59" s="104"/>
      <c r="G59" s="104"/>
      <c r="H59" s="104"/>
      <c r="I59" s="104"/>
      <c r="J59" s="104"/>
      <c r="K59" s="104"/>
      <c r="L59" s="104"/>
    </row>
    <row r="60" spans="1:12" x14ac:dyDescent="0.3">
      <c r="A60" s="104"/>
      <c r="B60" s="104"/>
      <c r="C60" s="104"/>
      <c r="D60" s="104"/>
      <c r="E60" s="104"/>
      <c r="F60" s="104"/>
      <c r="G60" s="104"/>
      <c r="H60" s="104"/>
      <c r="I60" s="104"/>
      <c r="J60" s="104"/>
      <c r="K60" s="104"/>
      <c r="L60" s="104"/>
    </row>
    <row r="61" spans="1:12" x14ac:dyDescent="0.3">
      <c r="A61" s="104"/>
      <c r="B61" s="104"/>
      <c r="C61" s="104"/>
      <c r="D61" s="104"/>
      <c r="E61" s="104"/>
      <c r="F61" s="104"/>
      <c r="G61" s="104"/>
      <c r="H61" s="104"/>
      <c r="I61" s="104"/>
      <c r="J61" s="104"/>
      <c r="K61" s="104"/>
      <c r="L61" s="104"/>
    </row>
  </sheetData>
  <mergeCells count="3">
    <mergeCell ref="A1:K1"/>
    <mergeCell ref="A8:L8"/>
    <mergeCell ref="A12:L6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BDE3-DA5D-48D4-B2E9-846575204258}">
  <sheetPr codeName="Sheet19"/>
  <dimension ref="A1:E290"/>
  <sheetViews>
    <sheetView workbookViewId="0">
      <selection activeCell="C11" sqref="C11"/>
    </sheetView>
  </sheetViews>
  <sheetFormatPr defaultColWidth="9.109375" defaultRowHeight="18" x14ac:dyDescent="0.35"/>
  <cols>
    <col min="1" max="1" width="22.88671875" style="3" customWidth="1"/>
    <col min="2" max="2" width="46.33203125" style="3" customWidth="1"/>
    <col min="3" max="3" width="23.109375" style="3" customWidth="1"/>
    <col min="4" max="4" width="23.33203125" style="3" customWidth="1"/>
    <col min="5" max="6" width="21" style="3" customWidth="1"/>
    <col min="7" max="16384" width="9.109375" style="3"/>
  </cols>
  <sheetData>
    <row r="1" spans="1:5" ht="22.8" x14ac:dyDescent="0.4">
      <c r="A1" s="57" t="s">
        <v>420</v>
      </c>
      <c r="B1" s="57"/>
      <c r="C1" s="5">
        <v>2022</v>
      </c>
      <c r="D1" s="5">
        <v>2023</v>
      </c>
      <c r="E1" s="5"/>
    </row>
    <row r="2" spans="1:5" x14ac:dyDescent="0.35">
      <c r="A2" s="44"/>
      <c r="B2" s="11"/>
      <c r="C2" s="18" t="s">
        <v>308</v>
      </c>
      <c r="D2" s="18" t="s">
        <v>308</v>
      </c>
      <c r="E2" s="11"/>
    </row>
    <row r="3" spans="1:5" ht="47.25" customHeight="1" x14ac:dyDescent="0.35">
      <c r="A3" s="11" t="s">
        <v>3</v>
      </c>
      <c r="B3" s="11" t="s">
        <v>409</v>
      </c>
      <c r="C3" s="18" t="s">
        <v>311</v>
      </c>
      <c r="D3" s="18" t="s">
        <v>312</v>
      </c>
      <c r="E3" s="15" t="s">
        <v>13</v>
      </c>
    </row>
    <row r="4" spans="1:5" ht="18.75" customHeight="1" x14ac:dyDescent="0.35">
      <c r="A4" s="8" t="s">
        <v>270</v>
      </c>
      <c r="B4" s="8" t="s">
        <v>410</v>
      </c>
      <c r="C4" s="7">
        <v>1561528.79</v>
      </c>
      <c r="D4" s="7">
        <v>1986101.32</v>
      </c>
      <c r="E4" s="7">
        <f>SUM(C4:D4)</f>
        <v>3547630.1100000003</v>
      </c>
    </row>
    <row r="5" spans="1:5" ht="18.75" customHeight="1" x14ac:dyDescent="0.35">
      <c r="A5" s="8" t="s">
        <v>270</v>
      </c>
      <c r="B5" s="8" t="s">
        <v>411</v>
      </c>
      <c r="C5" s="7">
        <v>90100.36</v>
      </c>
      <c r="D5" s="7">
        <v>102315.65</v>
      </c>
      <c r="E5" s="7">
        <f t="shared" ref="E5:E16" si="0">SUM(C5:D5)</f>
        <v>192416.01</v>
      </c>
    </row>
    <row r="6" spans="1:5" ht="18.75" customHeight="1" x14ac:dyDescent="0.35">
      <c r="A6" s="8" t="s">
        <v>270</v>
      </c>
      <c r="B6" s="8" t="s">
        <v>412</v>
      </c>
      <c r="C6" s="7">
        <v>206911.63</v>
      </c>
      <c r="D6" s="7">
        <v>234963.52</v>
      </c>
      <c r="E6" s="7">
        <f t="shared" si="0"/>
        <v>441875.15</v>
      </c>
    </row>
    <row r="7" spans="1:5" ht="18.75" customHeight="1" x14ac:dyDescent="0.35">
      <c r="A7" s="8" t="s">
        <v>270</v>
      </c>
      <c r="B7" s="8" t="s">
        <v>413</v>
      </c>
      <c r="C7" s="7">
        <v>188662.8</v>
      </c>
      <c r="D7" s="7">
        <v>214240.61</v>
      </c>
      <c r="E7" s="7">
        <f t="shared" si="0"/>
        <v>402903.41</v>
      </c>
    </row>
    <row r="8" spans="1:5" ht="18.75" customHeight="1" x14ac:dyDescent="0.35">
      <c r="A8" s="8" t="s">
        <v>270</v>
      </c>
      <c r="B8" s="8" t="s">
        <v>414</v>
      </c>
      <c r="C8" s="7">
        <v>307211.90999999997</v>
      </c>
      <c r="D8" s="7">
        <v>348861.93</v>
      </c>
      <c r="E8" s="7">
        <f t="shared" si="0"/>
        <v>656073.84</v>
      </c>
    </row>
    <row r="9" spans="1:5" ht="18.75" customHeight="1" x14ac:dyDescent="0.35">
      <c r="A9" s="8" t="s">
        <v>270</v>
      </c>
      <c r="B9" s="8" t="s">
        <v>415</v>
      </c>
      <c r="C9" s="7">
        <v>581728.19999999995</v>
      </c>
      <c r="D9" s="7">
        <v>660595.55000000005</v>
      </c>
      <c r="E9" s="7">
        <f t="shared" si="0"/>
        <v>1242323.75</v>
      </c>
    </row>
    <row r="10" spans="1:5" ht="18.75" customHeight="1" x14ac:dyDescent="0.35">
      <c r="A10" s="8" t="s">
        <v>270</v>
      </c>
      <c r="B10" s="8" t="s">
        <v>416</v>
      </c>
      <c r="C10" s="7">
        <v>264315.98</v>
      </c>
      <c r="D10" s="7">
        <v>300150.42</v>
      </c>
      <c r="E10" s="7">
        <f t="shared" si="0"/>
        <v>564466.39999999991</v>
      </c>
    </row>
    <row r="11" spans="1:5" ht="18.75" customHeight="1" x14ac:dyDescent="0.35">
      <c r="A11" s="8" t="s">
        <v>270</v>
      </c>
      <c r="B11" s="8" t="s">
        <v>417</v>
      </c>
      <c r="C11" s="7">
        <v>124805.17</v>
      </c>
      <c r="D11" s="7">
        <v>141725.54</v>
      </c>
      <c r="E11" s="7">
        <f t="shared" si="0"/>
        <v>266530.71000000002</v>
      </c>
    </row>
    <row r="12" spans="1:5" ht="18.75" customHeight="1" x14ac:dyDescent="0.35">
      <c r="A12" s="3" t="s">
        <v>63</v>
      </c>
      <c r="B12" s="8" t="s">
        <v>63</v>
      </c>
      <c r="C12" s="7">
        <v>171148.85</v>
      </c>
      <c r="D12" s="7">
        <v>194352.23</v>
      </c>
      <c r="E12" s="7">
        <f t="shared" si="0"/>
        <v>365501.08</v>
      </c>
    </row>
    <row r="13" spans="1:5" ht="18.75" customHeight="1" x14ac:dyDescent="0.35">
      <c r="A13" s="3" t="s">
        <v>14</v>
      </c>
      <c r="B13" s="8" t="s">
        <v>14</v>
      </c>
      <c r="C13" s="7">
        <v>168013.17</v>
      </c>
      <c r="D13" s="7">
        <v>190791.43</v>
      </c>
      <c r="E13" s="7">
        <f t="shared" si="0"/>
        <v>358804.6</v>
      </c>
    </row>
    <row r="14" spans="1:5" ht="18.75" customHeight="1" x14ac:dyDescent="0.35">
      <c r="A14" s="3" t="s">
        <v>75</v>
      </c>
      <c r="B14" s="8" t="s">
        <v>75</v>
      </c>
      <c r="C14" s="7">
        <v>463872.87</v>
      </c>
      <c r="D14" s="7">
        <v>526762.07999999996</v>
      </c>
      <c r="E14" s="7">
        <f t="shared" si="0"/>
        <v>990634.95</v>
      </c>
    </row>
    <row r="15" spans="1:5" ht="18.75" customHeight="1" x14ac:dyDescent="0.35">
      <c r="A15" s="3" t="s">
        <v>34</v>
      </c>
      <c r="B15" s="8" t="s">
        <v>34</v>
      </c>
      <c r="C15" s="7">
        <v>325681.74</v>
      </c>
      <c r="D15" s="7">
        <v>369835.79</v>
      </c>
      <c r="E15" s="7">
        <f t="shared" si="0"/>
        <v>695517.53</v>
      </c>
    </row>
    <row r="16" spans="1:5" ht="18.75" customHeight="1" x14ac:dyDescent="0.35">
      <c r="A16" s="3" t="s">
        <v>22</v>
      </c>
      <c r="B16" s="8" t="s">
        <v>22</v>
      </c>
      <c r="C16" s="7">
        <v>751114.47</v>
      </c>
      <c r="D16" s="7">
        <v>852946.24</v>
      </c>
      <c r="E16" s="7">
        <f t="shared" si="0"/>
        <v>1604060.71</v>
      </c>
    </row>
    <row r="17" spans="1:5" ht="18.75" customHeight="1" x14ac:dyDescent="0.35">
      <c r="B17" s="59" t="s">
        <v>13</v>
      </c>
      <c r="C17" s="7">
        <f>SUM(C4:C16)</f>
        <v>5205095.9400000004</v>
      </c>
      <c r="D17" s="7">
        <f>SUM(D4:D16)</f>
        <v>6123642.3100000005</v>
      </c>
      <c r="E17" s="7">
        <f>SUM(E4:E16)</f>
        <v>11328738.25</v>
      </c>
    </row>
    <row r="18" spans="1:5" ht="18.75" customHeight="1" x14ac:dyDescent="0.35">
      <c r="B18" s="8"/>
    </row>
    <row r="19" spans="1:5" ht="18.75" customHeight="1" x14ac:dyDescent="0.35">
      <c r="A19" s="106" t="s">
        <v>422</v>
      </c>
      <c r="B19" s="113"/>
      <c r="C19" s="113"/>
      <c r="D19" s="113"/>
      <c r="E19" s="113"/>
    </row>
    <row r="20" spans="1:5" ht="78.75" customHeight="1" x14ac:dyDescent="0.35">
      <c r="A20" s="113"/>
      <c r="B20" s="113"/>
      <c r="C20" s="113"/>
      <c r="D20" s="113"/>
      <c r="E20" s="113"/>
    </row>
    <row r="21" spans="1:5" ht="18.75" customHeight="1" x14ac:dyDescent="0.35">
      <c r="B21" s="8"/>
    </row>
    <row r="22" spans="1:5" ht="18.75" customHeight="1" x14ac:dyDescent="0.35">
      <c r="B22" s="8"/>
    </row>
    <row r="23" spans="1:5" ht="18.75" customHeight="1" x14ac:dyDescent="0.35">
      <c r="B23" s="8"/>
    </row>
    <row r="24" spans="1:5" ht="18.75" customHeight="1" x14ac:dyDescent="0.35">
      <c r="B24" s="8"/>
    </row>
    <row r="25" spans="1:5" ht="18.75" customHeight="1" x14ac:dyDescent="0.35">
      <c r="B25" s="8"/>
    </row>
    <row r="26" spans="1:5" ht="18.75" customHeight="1" x14ac:dyDescent="0.35">
      <c r="B26" s="8"/>
    </row>
    <row r="27" spans="1:5" ht="18.75" customHeight="1" x14ac:dyDescent="0.35">
      <c r="B27" s="8"/>
    </row>
    <row r="28" spans="1:5" ht="18.75" customHeight="1" x14ac:dyDescent="0.35">
      <c r="B28" s="8"/>
    </row>
    <row r="29" spans="1:5" ht="18.75" customHeight="1" x14ac:dyDescent="0.35">
      <c r="B29" s="8"/>
    </row>
    <row r="30" spans="1:5" ht="18.75" customHeight="1" x14ac:dyDescent="0.35">
      <c r="B30" s="8"/>
    </row>
    <row r="31" spans="1:5" ht="18.75" customHeight="1" x14ac:dyDescent="0.35">
      <c r="B31" s="8"/>
    </row>
    <row r="32" spans="1:5" ht="18.75" customHeight="1" x14ac:dyDescent="0.35">
      <c r="B32" s="8"/>
    </row>
    <row r="33" spans="2:2" ht="18.75" customHeight="1" x14ac:dyDescent="0.35">
      <c r="B33" s="8"/>
    </row>
    <row r="34" spans="2:2" ht="18.75" customHeight="1" x14ac:dyDescent="0.35">
      <c r="B34" s="8"/>
    </row>
    <row r="35" spans="2:2" ht="18.75" customHeight="1" x14ac:dyDescent="0.35">
      <c r="B35" s="8"/>
    </row>
    <row r="36" spans="2:2" ht="18.75" customHeight="1" x14ac:dyDescent="0.35">
      <c r="B36" s="8"/>
    </row>
    <row r="37" spans="2:2" ht="18.75" customHeight="1" x14ac:dyDescent="0.35">
      <c r="B37" s="8"/>
    </row>
    <row r="38" spans="2:2" ht="18.75" customHeight="1" x14ac:dyDescent="0.35">
      <c r="B38" s="8"/>
    </row>
    <row r="39" spans="2:2" ht="18.75" customHeight="1" x14ac:dyDescent="0.35">
      <c r="B39" s="8"/>
    </row>
    <row r="40" spans="2:2" ht="18.75" customHeight="1" x14ac:dyDescent="0.35">
      <c r="B40" s="8"/>
    </row>
    <row r="41" spans="2:2" ht="18.75" customHeight="1" x14ac:dyDescent="0.35">
      <c r="B41" s="8"/>
    </row>
    <row r="42" spans="2:2" ht="18.75" customHeight="1" x14ac:dyDescent="0.35">
      <c r="B42" s="8"/>
    </row>
    <row r="43" spans="2:2" ht="18.75" customHeight="1" x14ac:dyDescent="0.35">
      <c r="B43" s="8"/>
    </row>
    <row r="44" spans="2:2" ht="18.75" customHeight="1" x14ac:dyDescent="0.35">
      <c r="B44" s="8"/>
    </row>
    <row r="45" spans="2:2" ht="18.75" customHeight="1" x14ac:dyDescent="0.35">
      <c r="B45" s="8"/>
    </row>
    <row r="46" spans="2:2" ht="18.75" customHeight="1" x14ac:dyDescent="0.35">
      <c r="B46" s="8"/>
    </row>
    <row r="47" spans="2:2" ht="18.75" customHeight="1" x14ac:dyDescent="0.35">
      <c r="B47" s="8"/>
    </row>
    <row r="48" spans="2:2" ht="18.75" customHeight="1" x14ac:dyDescent="0.35">
      <c r="B48" s="8"/>
    </row>
    <row r="49" spans="2:2" ht="18.75" customHeight="1" x14ac:dyDescent="0.35">
      <c r="B49" s="8"/>
    </row>
    <row r="50" spans="2:2" ht="18.75" customHeight="1" x14ac:dyDescent="0.35">
      <c r="B50" s="8"/>
    </row>
    <row r="51" spans="2:2" ht="18.75" customHeight="1" x14ac:dyDescent="0.35">
      <c r="B51" s="8"/>
    </row>
    <row r="52" spans="2:2" ht="18.75" customHeight="1" x14ac:dyDescent="0.35">
      <c r="B52" s="8"/>
    </row>
    <row r="53" spans="2:2" ht="18.75" customHeight="1" x14ac:dyDescent="0.35">
      <c r="B53" s="8"/>
    </row>
    <row r="54" spans="2:2" ht="18.75" customHeight="1" x14ac:dyDescent="0.35">
      <c r="B54" s="8"/>
    </row>
    <row r="55" spans="2:2" ht="18.75" customHeight="1" x14ac:dyDescent="0.35">
      <c r="B55" s="8"/>
    </row>
    <row r="56" spans="2:2" ht="18.75" customHeight="1" x14ac:dyDescent="0.35">
      <c r="B56" s="8"/>
    </row>
    <row r="57" spans="2:2" ht="18.75" customHeight="1" x14ac:dyDescent="0.35">
      <c r="B57" s="8"/>
    </row>
    <row r="58" spans="2:2" ht="18.75" customHeight="1" x14ac:dyDescent="0.35">
      <c r="B58" s="8"/>
    </row>
    <row r="59" spans="2:2" ht="18.75" customHeight="1" x14ac:dyDescent="0.35">
      <c r="B59" s="8"/>
    </row>
    <row r="60" spans="2:2" ht="18.75" customHeight="1" x14ac:dyDescent="0.35">
      <c r="B60" s="8"/>
    </row>
    <row r="61" spans="2:2" ht="18.75" customHeight="1" x14ac:dyDescent="0.35">
      <c r="B61" s="8"/>
    </row>
    <row r="62" spans="2:2" ht="18.75" customHeight="1" x14ac:dyDescent="0.35">
      <c r="B62" s="8"/>
    </row>
    <row r="63" spans="2:2" ht="18.75" customHeight="1" x14ac:dyDescent="0.35">
      <c r="B63" s="8"/>
    </row>
    <row r="64" spans="2:2" ht="18.75" customHeight="1" x14ac:dyDescent="0.35">
      <c r="B64" s="8"/>
    </row>
    <row r="65" spans="2:2" ht="18.75" customHeight="1" x14ac:dyDescent="0.35">
      <c r="B65" s="8"/>
    </row>
    <row r="66" spans="2:2" ht="18.75" customHeight="1" x14ac:dyDescent="0.35">
      <c r="B66" s="8"/>
    </row>
    <row r="67" spans="2:2" ht="18.75" customHeight="1" x14ac:dyDescent="0.35">
      <c r="B67" s="8"/>
    </row>
    <row r="68" spans="2:2" ht="18.75" customHeight="1" x14ac:dyDescent="0.35">
      <c r="B68" s="8"/>
    </row>
    <row r="69" spans="2:2" ht="18.75" customHeight="1" x14ac:dyDescent="0.35">
      <c r="B69" s="8"/>
    </row>
    <row r="70" spans="2:2" ht="18.75" customHeight="1" x14ac:dyDescent="0.35">
      <c r="B70" s="8"/>
    </row>
    <row r="71" spans="2:2" ht="18.75" customHeight="1" x14ac:dyDescent="0.35">
      <c r="B71" s="8"/>
    </row>
    <row r="72" spans="2:2" ht="18.75" customHeight="1" x14ac:dyDescent="0.35">
      <c r="B72" s="8"/>
    </row>
    <row r="73" spans="2:2" ht="18.75" customHeight="1" x14ac:dyDescent="0.35">
      <c r="B73" s="8"/>
    </row>
    <row r="74" spans="2:2" ht="18.75" customHeight="1" x14ac:dyDescent="0.35">
      <c r="B74" s="8"/>
    </row>
    <row r="75" spans="2:2" ht="18.75" customHeight="1" x14ac:dyDescent="0.35">
      <c r="B75" s="8"/>
    </row>
    <row r="76" spans="2:2" ht="18.75" customHeight="1" x14ac:dyDescent="0.35">
      <c r="B76" s="8"/>
    </row>
    <row r="77" spans="2:2" ht="18.75" customHeight="1" x14ac:dyDescent="0.35">
      <c r="B77" s="8"/>
    </row>
    <row r="78" spans="2:2" ht="18.75" customHeight="1" x14ac:dyDescent="0.35">
      <c r="B78" s="8"/>
    </row>
    <row r="79" spans="2:2" ht="18.75" customHeight="1" x14ac:dyDescent="0.35">
      <c r="B79" s="8"/>
    </row>
    <row r="80" spans="2:2" ht="18.75" customHeight="1" x14ac:dyDescent="0.35">
      <c r="B80" s="8"/>
    </row>
    <row r="81" spans="2:2" ht="18.75" customHeight="1" x14ac:dyDescent="0.35">
      <c r="B81" s="8"/>
    </row>
    <row r="82" spans="2:2" ht="18.75" customHeight="1" x14ac:dyDescent="0.35">
      <c r="B82" s="8"/>
    </row>
    <row r="83" spans="2:2" ht="18.75" customHeight="1" x14ac:dyDescent="0.35">
      <c r="B83" s="8"/>
    </row>
    <row r="84" spans="2:2" ht="18.75" customHeight="1" x14ac:dyDescent="0.35">
      <c r="B84" s="8"/>
    </row>
    <row r="85" spans="2:2" ht="18.75" customHeight="1" x14ac:dyDescent="0.35">
      <c r="B85" s="8"/>
    </row>
    <row r="86" spans="2:2" ht="18.75" customHeight="1" x14ac:dyDescent="0.35">
      <c r="B86" s="8"/>
    </row>
    <row r="87" spans="2:2" ht="18.75" customHeight="1" x14ac:dyDescent="0.35">
      <c r="B87" s="8"/>
    </row>
    <row r="88" spans="2:2" ht="18.75" customHeight="1" x14ac:dyDescent="0.35">
      <c r="B88" s="8"/>
    </row>
    <row r="89" spans="2:2" ht="18.75" customHeight="1" x14ac:dyDescent="0.35">
      <c r="B89" s="8"/>
    </row>
    <row r="90" spans="2:2" ht="18.75" customHeight="1" x14ac:dyDescent="0.35">
      <c r="B90" s="8"/>
    </row>
    <row r="91" spans="2:2" ht="18.75" customHeight="1" x14ac:dyDescent="0.35">
      <c r="B91" s="8"/>
    </row>
    <row r="92" spans="2:2" ht="18.75" customHeight="1" x14ac:dyDescent="0.35">
      <c r="B92" s="8"/>
    </row>
    <row r="93" spans="2:2" ht="18.75" customHeight="1" x14ac:dyDescent="0.35">
      <c r="B93" s="8"/>
    </row>
    <row r="94" spans="2:2" ht="18.75" customHeight="1" x14ac:dyDescent="0.35">
      <c r="B94" s="8"/>
    </row>
    <row r="95" spans="2:2" ht="18.75" customHeight="1" x14ac:dyDescent="0.35">
      <c r="B95" s="8"/>
    </row>
    <row r="96" spans="2:2" ht="18.75" customHeight="1" x14ac:dyDescent="0.35">
      <c r="B96" s="8"/>
    </row>
    <row r="97" spans="2:2" ht="18.75" customHeight="1" x14ac:dyDescent="0.35">
      <c r="B97" s="8"/>
    </row>
    <row r="98" spans="2:2" ht="18.75" customHeight="1" x14ac:dyDescent="0.35">
      <c r="B98" s="8"/>
    </row>
    <row r="99" spans="2:2" ht="18.75" customHeight="1" x14ac:dyDescent="0.35">
      <c r="B99" s="8"/>
    </row>
    <row r="100" spans="2:2" ht="18.75" customHeight="1" x14ac:dyDescent="0.35">
      <c r="B100" s="8"/>
    </row>
    <row r="101" spans="2:2" ht="18.75" customHeight="1" x14ac:dyDescent="0.35">
      <c r="B101" s="8"/>
    </row>
    <row r="102" spans="2:2" ht="18.75" customHeight="1" x14ac:dyDescent="0.35">
      <c r="B102" s="8"/>
    </row>
    <row r="103" spans="2:2" ht="18.75" customHeight="1" x14ac:dyDescent="0.35">
      <c r="B103" s="8"/>
    </row>
    <row r="104" spans="2:2" ht="18.75" customHeight="1" x14ac:dyDescent="0.35">
      <c r="B104" s="8"/>
    </row>
    <row r="105" spans="2:2" ht="18.75" customHeight="1" x14ac:dyDescent="0.35">
      <c r="B105" s="8"/>
    </row>
    <row r="106" spans="2:2" ht="18.75" customHeight="1" x14ac:dyDescent="0.35">
      <c r="B106" s="8"/>
    </row>
    <row r="107" spans="2:2" ht="18.75" customHeight="1" x14ac:dyDescent="0.35">
      <c r="B107" s="8"/>
    </row>
    <row r="108" spans="2:2" ht="18.75" customHeight="1" x14ac:dyDescent="0.35">
      <c r="B108" s="8"/>
    </row>
    <row r="109" spans="2:2" ht="18.75" customHeight="1" x14ac:dyDescent="0.35">
      <c r="B109" s="8"/>
    </row>
    <row r="110" spans="2:2" ht="18.75" customHeight="1" x14ac:dyDescent="0.35">
      <c r="B110" s="8"/>
    </row>
    <row r="111" spans="2:2" ht="18.75" customHeight="1" x14ac:dyDescent="0.35">
      <c r="B111" s="8"/>
    </row>
    <row r="112" spans="2:2" ht="18.75" customHeight="1" x14ac:dyDescent="0.35">
      <c r="B112" s="8"/>
    </row>
    <row r="113" spans="2:2" ht="18.75" customHeight="1" x14ac:dyDescent="0.35">
      <c r="B113" s="8"/>
    </row>
    <row r="114" spans="2:2" ht="18.75" customHeight="1" x14ac:dyDescent="0.35">
      <c r="B114" s="8"/>
    </row>
    <row r="115" spans="2:2" ht="18.75" customHeight="1" x14ac:dyDescent="0.35">
      <c r="B115" s="8"/>
    </row>
    <row r="116" spans="2:2" ht="18.75" customHeight="1" x14ac:dyDescent="0.35">
      <c r="B116" s="8"/>
    </row>
    <row r="117" spans="2:2" ht="18.75" customHeight="1" x14ac:dyDescent="0.35">
      <c r="B117" s="8"/>
    </row>
    <row r="118" spans="2:2" ht="18.75" customHeight="1" x14ac:dyDescent="0.35">
      <c r="B118" s="8"/>
    </row>
    <row r="119" spans="2:2" ht="18.75" customHeight="1" x14ac:dyDescent="0.35">
      <c r="B119" s="8"/>
    </row>
    <row r="120" spans="2:2" ht="18.75" customHeight="1" x14ac:dyDescent="0.35">
      <c r="B120" s="8"/>
    </row>
    <row r="121" spans="2:2" ht="18.75" customHeight="1" x14ac:dyDescent="0.35">
      <c r="B121" s="8"/>
    </row>
    <row r="122" spans="2:2" ht="18.75" customHeight="1" x14ac:dyDescent="0.35">
      <c r="B122" s="8"/>
    </row>
    <row r="123" spans="2:2" ht="18.75" customHeight="1" x14ac:dyDescent="0.35">
      <c r="B123" s="8"/>
    </row>
    <row r="124" spans="2:2" ht="18.75" customHeight="1" x14ac:dyDescent="0.35">
      <c r="B124" s="8"/>
    </row>
    <row r="125" spans="2:2" ht="18.75" customHeight="1" x14ac:dyDescent="0.35">
      <c r="B125" s="8"/>
    </row>
    <row r="126" spans="2:2" ht="18.75" customHeight="1" x14ac:dyDescent="0.35">
      <c r="B126" s="8"/>
    </row>
    <row r="127" spans="2:2" ht="18.75" customHeight="1" x14ac:dyDescent="0.35">
      <c r="B127" s="8"/>
    </row>
    <row r="128" spans="2:2" ht="18.75" customHeight="1" x14ac:dyDescent="0.35">
      <c r="B128" s="8"/>
    </row>
    <row r="129" spans="2:2" ht="18.75" customHeight="1" x14ac:dyDescent="0.35">
      <c r="B129" s="8"/>
    </row>
    <row r="130" spans="2:2" ht="18.75" customHeight="1" x14ac:dyDescent="0.35">
      <c r="B130" s="8"/>
    </row>
    <row r="131" spans="2:2" ht="18.75" customHeight="1" x14ac:dyDescent="0.35">
      <c r="B131" s="8"/>
    </row>
    <row r="132" spans="2:2" ht="18.75" customHeight="1" x14ac:dyDescent="0.35">
      <c r="B132" s="8"/>
    </row>
    <row r="133" spans="2:2" ht="18.75" customHeight="1" x14ac:dyDescent="0.35">
      <c r="B133" s="8"/>
    </row>
    <row r="134" spans="2:2" ht="18.75" customHeight="1" x14ac:dyDescent="0.35">
      <c r="B134" s="8"/>
    </row>
    <row r="135" spans="2:2" ht="18.75" customHeight="1" x14ac:dyDescent="0.35">
      <c r="B135" s="8"/>
    </row>
    <row r="136" spans="2:2" ht="18.75" customHeight="1" x14ac:dyDescent="0.35">
      <c r="B136" s="8"/>
    </row>
    <row r="137" spans="2:2" ht="18.75" customHeight="1" x14ac:dyDescent="0.35">
      <c r="B137" s="8"/>
    </row>
    <row r="138" spans="2:2" ht="18.75" customHeight="1" x14ac:dyDescent="0.35">
      <c r="B138" s="8"/>
    </row>
    <row r="139" spans="2:2" ht="18.75" customHeight="1" x14ac:dyDescent="0.35">
      <c r="B139" s="8"/>
    </row>
    <row r="140" spans="2:2" ht="18.75" customHeight="1" x14ac:dyDescent="0.35">
      <c r="B140" s="8"/>
    </row>
    <row r="141" spans="2:2" ht="18.75" customHeight="1" x14ac:dyDescent="0.35">
      <c r="B141" s="8"/>
    </row>
    <row r="142" spans="2:2" ht="18.75" customHeight="1" x14ac:dyDescent="0.35">
      <c r="B142" s="8"/>
    </row>
    <row r="143" spans="2:2" ht="18.75" customHeight="1" x14ac:dyDescent="0.35">
      <c r="B143" s="8"/>
    </row>
    <row r="144" spans="2:2" ht="18.75" customHeight="1" x14ac:dyDescent="0.35">
      <c r="B144" s="8"/>
    </row>
    <row r="145" spans="2:2" ht="18.75" customHeight="1" x14ac:dyDescent="0.35">
      <c r="B145" s="8"/>
    </row>
    <row r="146" spans="2:2" ht="18.75" customHeight="1" x14ac:dyDescent="0.35">
      <c r="B146" s="8"/>
    </row>
    <row r="147" spans="2:2" ht="18.75" customHeight="1" x14ac:dyDescent="0.35">
      <c r="B147" s="8"/>
    </row>
    <row r="148" spans="2:2" ht="18.75" customHeight="1" x14ac:dyDescent="0.35">
      <c r="B148" s="8"/>
    </row>
    <row r="149" spans="2:2" ht="18.75" customHeight="1" x14ac:dyDescent="0.35">
      <c r="B149" s="8"/>
    </row>
    <row r="150" spans="2:2" ht="18.75" customHeight="1" x14ac:dyDescent="0.35">
      <c r="B150" s="8"/>
    </row>
    <row r="151" spans="2:2" ht="18.75" customHeight="1" x14ac:dyDescent="0.35">
      <c r="B151" s="8"/>
    </row>
    <row r="152" spans="2:2" ht="18.75" customHeight="1" x14ac:dyDescent="0.35">
      <c r="B152" s="8"/>
    </row>
    <row r="153" spans="2:2" ht="18.75" customHeight="1" x14ac:dyDescent="0.35">
      <c r="B153" s="8"/>
    </row>
    <row r="154" spans="2:2" ht="18.75" customHeight="1" x14ac:dyDescent="0.35">
      <c r="B154" s="8"/>
    </row>
    <row r="155" spans="2:2" ht="18.75" customHeight="1" x14ac:dyDescent="0.35">
      <c r="B155" s="8"/>
    </row>
    <row r="156" spans="2:2" ht="18.75" customHeight="1" x14ac:dyDescent="0.35">
      <c r="B156" s="8"/>
    </row>
    <row r="157" spans="2:2" ht="18.75" customHeight="1" x14ac:dyDescent="0.35">
      <c r="B157" s="8"/>
    </row>
    <row r="158" spans="2:2" ht="18.75" customHeight="1" x14ac:dyDescent="0.35">
      <c r="B158" s="8"/>
    </row>
    <row r="159" spans="2:2" ht="18.75" customHeight="1" x14ac:dyDescent="0.35">
      <c r="B159" s="8"/>
    </row>
    <row r="160" spans="2:2" ht="18.75" customHeight="1" x14ac:dyDescent="0.35">
      <c r="B160" s="8"/>
    </row>
    <row r="161" spans="2:2" ht="18.75" customHeight="1" x14ac:dyDescent="0.35">
      <c r="B161" s="8"/>
    </row>
    <row r="162" spans="2:2" ht="18.75" customHeight="1" x14ac:dyDescent="0.35">
      <c r="B162" s="8"/>
    </row>
    <row r="163" spans="2:2" ht="18.75" customHeight="1" x14ac:dyDescent="0.35">
      <c r="B163" s="8"/>
    </row>
    <row r="164" spans="2:2" ht="18.75" customHeight="1" x14ac:dyDescent="0.35">
      <c r="B164" s="8"/>
    </row>
    <row r="165" spans="2:2" ht="18.75" customHeight="1" x14ac:dyDescent="0.35">
      <c r="B165" s="8"/>
    </row>
    <row r="166" spans="2:2" ht="18.75" customHeight="1" x14ac:dyDescent="0.35">
      <c r="B166" s="8"/>
    </row>
    <row r="167" spans="2:2" ht="18.75" customHeight="1" x14ac:dyDescent="0.35">
      <c r="B167" s="8"/>
    </row>
    <row r="168" spans="2:2" ht="18.75" customHeight="1" x14ac:dyDescent="0.35">
      <c r="B168" s="8"/>
    </row>
    <row r="169" spans="2:2" ht="18.75" customHeight="1" x14ac:dyDescent="0.35">
      <c r="B169" s="8"/>
    </row>
    <row r="170" spans="2:2" ht="18.75" customHeight="1" x14ac:dyDescent="0.35">
      <c r="B170" s="8"/>
    </row>
    <row r="171" spans="2:2" ht="18.75" customHeight="1" x14ac:dyDescent="0.35">
      <c r="B171" s="8"/>
    </row>
    <row r="172" spans="2:2" ht="18.75" customHeight="1" x14ac:dyDescent="0.35">
      <c r="B172" s="8"/>
    </row>
    <row r="173" spans="2:2" ht="18.75" customHeight="1" x14ac:dyDescent="0.35">
      <c r="B173" s="8"/>
    </row>
    <row r="174" spans="2:2" ht="18.75" customHeight="1" x14ac:dyDescent="0.35">
      <c r="B174" s="8"/>
    </row>
    <row r="175" spans="2:2" ht="18.75" customHeight="1" x14ac:dyDescent="0.35">
      <c r="B175" s="8"/>
    </row>
    <row r="176" spans="2:2" ht="18.75" customHeight="1" x14ac:dyDescent="0.35">
      <c r="B176" s="8"/>
    </row>
    <row r="177" spans="2:2" ht="18.75" customHeight="1" x14ac:dyDescent="0.35">
      <c r="B177" s="8"/>
    </row>
    <row r="178" spans="2:2" ht="18.75" customHeight="1" x14ac:dyDescent="0.35">
      <c r="B178" s="8"/>
    </row>
    <row r="179" spans="2:2" ht="18.75" customHeight="1" x14ac:dyDescent="0.35">
      <c r="B179" s="8"/>
    </row>
    <row r="180" spans="2:2" ht="18.75" customHeight="1" x14ac:dyDescent="0.35">
      <c r="B180" s="8"/>
    </row>
    <row r="181" spans="2:2" ht="18.75" customHeight="1" x14ac:dyDescent="0.35">
      <c r="B181" s="8"/>
    </row>
    <row r="182" spans="2:2" ht="18.75" customHeight="1" x14ac:dyDescent="0.35">
      <c r="B182" s="8"/>
    </row>
    <row r="183" spans="2:2" ht="18.75" customHeight="1" x14ac:dyDescent="0.35">
      <c r="B183" s="8"/>
    </row>
    <row r="184" spans="2:2" ht="18.75" customHeight="1" x14ac:dyDescent="0.35">
      <c r="B184" s="8"/>
    </row>
    <row r="185" spans="2:2" ht="18.75" customHeight="1" x14ac:dyDescent="0.35">
      <c r="B185" s="8"/>
    </row>
    <row r="186" spans="2:2" ht="18.75" customHeight="1" x14ac:dyDescent="0.35">
      <c r="B186" s="8"/>
    </row>
    <row r="187" spans="2:2" ht="18.75" customHeight="1" x14ac:dyDescent="0.35">
      <c r="B187" s="8"/>
    </row>
    <row r="188" spans="2:2" ht="18.75" customHeight="1" x14ac:dyDescent="0.35">
      <c r="B188" s="8"/>
    </row>
    <row r="189" spans="2:2" ht="18.75" customHeight="1" x14ac:dyDescent="0.35">
      <c r="B189" s="8"/>
    </row>
    <row r="190" spans="2:2" ht="18.75" customHeight="1" x14ac:dyDescent="0.35">
      <c r="B190" s="8"/>
    </row>
    <row r="191" spans="2:2" ht="18.75" customHeight="1" x14ac:dyDescent="0.35">
      <c r="B191" s="8"/>
    </row>
    <row r="192" spans="2:2" ht="18.75" customHeight="1" x14ac:dyDescent="0.35">
      <c r="B192" s="8"/>
    </row>
    <row r="193" spans="2:2" ht="18.75" customHeight="1" x14ac:dyDescent="0.35">
      <c r="B193" s="8"/>
    </row>
    <row r="194" spans="2:2" ht="18.75" customHeight="1" x14ac:dyDescent="0.35">
      <c r="B194" s="8"/>
    </row>
    <row r="195" spans="2:2" ht="18.75" customHeight="1" x14ac:dyDescent="0.35">
      <c r="B195" s="8"/>
    </row>
    <row r="196" spans="2:2" ht="18.75" customHeight="1" x14ac:dyDescent="0.35">
      <c r="B196" s="8"/>
    </row>
    <row r="197" spans="2:2" ht="18.75" customHeight="1" x14ac:dyDescent="0.35">
      <c r="B197" s="8"/>
    </row>
    <row r="198" spans="2:2" ht="18.75" customHeight="1" x14ac:dyDescent="0.35">
      <c r="B198" s="8"/>
    </row>
    <row r="199" spans="2:2" ht="18.75" customHeight="1" x14ac:dyDescent="0.35">
      <c r="B199" s="8"/>
    </row>
    <row r="200" spans="2:2" ht="18.75" customHeight="1" x14ac:dyDescent="0.35">
      <c r="B200" s="8"/>
    </row>
    <row r="201" spans="2:2" ht="18.75" customHeight="1" x14ac:dyDescent="0.35">
      <c r="B201" s="8"/>
    </row>
    <row r="202" spans="2:2" ht="18.75" customHeight="1" x14ac:dyDescent="0.35">
      <c r="B202" s="8"/>
    </row>
    <row r="203" spans="2:2" ht="18.75" customHeight="1" x14ac:dyDescent="0.35">
      <c r="B203" s="8"/>
    </row>
    <row r="204" spans="2:2" ht="18.75" customHeight="1" x14ac:dyDescent="0.35">
      <c r="B204" s="8"/>
    </row>
    <row r="205" spans="2:2" ht="18.75" customHeight="1" x14ac:dyDescent="0.35">
      <c r="B205" s="8"/>
    </row>
    <row r="206" spans="2:2" ht="18.75" customHeight="1" x14ac:dyDescent="0.35">
      <c r="B206" s="8"/>
    </row>
    <row r="207" spans="2:2" ht="18.75" customHeight="1" x14ac:dyDescent="0.35">
      <c r="B207" s="8"/>
    </row>
    <row r="208" spans="2:2" ht="18.75" customHeight="1" x14ac:dyDescent="0.35">
      <c r="B208" s="8"/>
    </row>
    <row r="209" spans="2:2" ht="18.75" customHeight="1" x14ac:dyDescent="0.35">
      <c r="B209" s="8"/>
    </row>
    <row r="210" spans="2:2" ht="18.75" customHeight="1" x14ac:dyDescent="0.35">
      <c r="B210" s="8"/>
    </row>
    <row r="211" spans="2:2" ht="18.75" customHeight="1" x14ac:dyDescent="0.35">
      <c r="B211" s="8"/>
    </row>
    <row r="212" spans="2:2" ht="18.75" customHeight="1" x14ac:dyDescent="0.35">
      <c r="B212" s="8"/>
    </row>
    <row r="213" spans="2:2" ht="18.75" customHeight="1" x14ac:dyDescent="0.35">
      <c r="B213" s="8"/>
    </row>
    <row r="214" spans="2:2" ht="18.75" customHeight="1" x14ac:dyDescent="0.35">
      <c r="B214" s="8"/>
    </row>
    <row r="215" spans="2:2" ht="18.75" customHeight="1" x14ac:dyDescent="0.35">
      <c r="B215" s="8"/>
    </row>
    <row r="216" spans="2:2" ht="18.75" customHeight="1" x14ac:dyDescent="0.35">
      <c r="B216" s="8"/>
    </row>
    <row r="217" spans="2:2" ht="18.75" customHeight="1" x14ac:dyDescent="0.35">
      <c r="B217" s="8"/>
    </row>
    <row r="218" spans="2:2" ht="18.75" customHeight="1" x14ac:dyDescent="0.35">
      <c r="B218" s="8"/>
    </row>
    <row r="219" spans="2:2" ht="18.75" customHeight="1" x14ac:dyDescent="0.35">
      <c r="B219" s="8"/>
    </row>
    <row r="220" spans="2:2" ht="18.75" customHeight="1" x14ac:dyDescent="0.35">
      <c r="B220" s="8"/>
    </row>
    <row r="221" spans="2:2" ht="18.75" customHeight="1" x14ac:dyDescent="0.35">
      <c r="B221" s="8"/>
    </row>
    <row r="222" spans="2:2" ht="18.75" customHeight="1" x14ac:dyDescent="0.35">
      <c r="B222" s="8"/>
    </row>
    <row r="223" spans="2:2" ht="18.75" customHeight="1" x14ac:dyDescent="0.35">
      <c r="B223" s="8"/>
    </row>
    <row r="224" spans="2:2" ht="18.75" customHeight="1" x14ac:dyDescent="0.35">
      <c r="B224" s="8"/>
    </row>
    <row r="225" spans="2:2" ht="18.75" customHeight="1" x14ac:dyDescent="0.35">
      <c r="B225" s="8"/>
    </row>
    <row r="226" spans="2:2" ht="18.75" customHeight="1" x14ac:dyDescent="0.35">
      <c r="B226" s="8"/>
    </row>
    <row r="227" spans="2:2" ht="18.75" customHeight="1" x14ac:dyDescent="0.35">
      <c r="B227" s="8"/>
    </row>
    <row r="228" spans="2:2" ht="18.75" customHeight="1" x14ac:dyDescent="0.35">
      <c r="B228" s="8"/>
    </row>
    <row r="229" spans="2:2" ht="18.75" customHeight="1" x14ac:dyDescent="0.35">
      <c r="B229" s="8"/>
    </row>
    <row r="230" spans="2:2" ht="18.75" customHeight="1" x14ac:dyDescent="0.35">
      <c r="B230" s="8"/>
    </row>
    <row r="231" spans="2:2" ht="18.75" customHeight="1" x14ac:dyDescent="0.35">
      <c r="B231" s="8"/>
    </row>
    <row r="232" spans="2:2" ht="18.75" customHeight="1" x14ac:dyDescent="0.35">
      <c r="B232" s="8"/>
    </row>
    <row r="233" spans="2:2" ht="18.75" customHeight="1" x14ac:dyDescent="0.35">
      <c r="B233" s="8"/>
    </row>
    <row r="234" spans="2:2" ht="18.75" customHeight="1" x14ac:dyDescent="0.35">
      <c r="B234" s="8"/>
    </row>
    <row r="235" spans="2:2" ht="18.75" customHeight="1" x14ac:dyDescent="0.35">
      <c r="B235" s="8"/>
    </row>
    <row r="236" spans="2:2" ht="18.75" customHeight="1" x14ac:dyDescent="0.35">
      <c r="B236" s="8"/>
    </row>
    <row r="237" spans="2:2" ht="18.75" customHeight="1" x14ac:dyDescent="0.35">
      <c r="B237" s="8"/>
    </row>
    <row r="238" spans="2:2" ht="18.75" customHeight="1" x14ac:dyDescent="0.35">
      <c r="B238" s="8"/>
    </row>
    <row r="239" spans="2:2" ht="18.75" customHeight="1" x14ac:dyDescent="0.35">
      <c r="B239" s="8"/>
    </row>
    <row r="240" spans="2:2" ht="18.75" customHeight="1" x14ac:dyDescent="0.35">
      <c r="B240" s="8"/>
    </row>
    <row r="241" spans="2:2" ht="18.75" customHeight="1" x14ac:dyDescent="0.35">
      <c r="B241" s="8"/>
    </row>
    <row r="242" spans="2:2" ht="18.75" customHeight="1" x14ac:dyDescent="0.35">
      <c r="B242" s="8"/>
    </row>
    <row r="243" spans="2:2" ht="18.75" customHeight="1" x14ac:dyDescent="0.35">
      <c r="B243" s="8"/>
    </row>
    <row r="244" spans="2:2" ht="18.75" customHeight="1" x14ac:dyDescent="0.35">
      <c r="B244" s="8"/>
    </row>
    <row r="245" spans="2:2" ht="18.75" customHeight="1" x14ac:dyDescent="0.35">
      <c r="B245" s="8"/>
    </row>
    <row r="246" spans="2:2" ht="18.75" customHeight="1" x14ac:dyDescent="0.35">
      <c r="B246" s="8"/>
    </row>
    <row r="247" spans="2:2" ht="18.75" customHeight="1" x14ac:dyDescent="0.35">
      <c r="B247" s="8"/>
    </row>
    <row r="248" spans="2:2" ht="18.75" customHeight="1" x14ac:dyDescent="0.35">
      <c r="B248" s="8"/>
    </row>
    <row r="249" spans="2:2" ht="18.75" customHeight="1" x14ac:dyDescent="0.35">
      <c r="B249" s="8"/>
    </row>
    <row r="250" spans="2:2" ht="18.75" customHeight="1" x14ac:dyDescent="0.35">
      <c r="B250" s="8"/>
    </row>
    <row r="251" spans="2:2" ht="18.75" customHeight="1" x14ac:dyDescent="0.35">
      <c r="B251" s="8"/>
    </row>
    <row r="252" spans="2:2" ht="18.75" customHeight="1" x14ac:dyDescent="0.35">
      <c r="B252" s="8"/>
    </row>
    <row r="253" spans="2:2" ht="18.75" customHeight="1" x14ac:dyDescent="0.35">
      <c r="B253" s="8"/>
    </row>
    <row r="254" spans="2:2" ht="18.75" customHeight="1" x14ac:dyDescent="0.35">
      <c r="B254" s="8"/>
    </row>
    <row r="255" spans="2:2" ht="18.75" customHeight="1" x14ac:dyDescent="0.35">
      <c r="B255" s="8"/>
    </row>
    <row r="256" spans="2:2" ht="18.75" customHeight="1" x14ac:dyDescent="0.35">
      <c r="B256" s="8"/>
    </row>
    <row r="257" spans="2:2" ht="18.75" customHeight="1" x14ac:dyDescent="0.35">
      <c r="B257" s="8"/>
    </row>
    <row r="258" spans="2:2" ht="18.75" customHeight="1" x14ac:dyDescent="0.35">
      <c r="B258" s="8"/>
    </row>
    <row r="259" spans="2:2" ht="18.75" customHeight="1" x14ac:dyDescent="0.35">
      <c r="B259" s="8"/>
    </row>
    <row r="260" spans="2:2" ht="18.75" customHeight="1" x14ac:dyDescent="0.35">
      <c r="B260" s="8"/>
    </row>
    <row r="261" spans="2:2" ht="18.75" customHeight="1" x14ac:dyDescent="0.35">
      <c r="B261" s="8"/>
    </row>
    <row r="262" spans="2:2" ht="18.75" customHeight="1" x14ac:dyDescent="0.35">
      <c r="B262" s="8"/>
    </row>
    <row r="263" spans="2:2" ht="18.75" customHeight="1" x14ac:dyDescent="0.35">
      <c r="B263" s="8"/>
    </row>
    <row r="264" spans="2:2" ht="18.75" customHeight="1" x14ac:dyDescent="0.35">
      <c r="B264" s="8"/>
    </row>
    <row r="265" spans="2:2" ht="18.75" customHeight="1" x14ac:dyDescent="0.35">
      <c r="B265" s="8"/>
    </row>
    <row r="266" spans="2:2" ht="18.75" customHeight="1" x14ac:dyDescent="0.35">
      <c r="B266" s="8"/>
    </row>
    <row r="267" spans="2:2" ht="18.75" customHeight="1" x14ac:dyDescent="0.35">
      <c r="B267" s="8"/>
    </row>
    <row r="268" spans="2:2" ht="18.75" customHeight="1" x14ac:dyDescent="0.35">
      <c r="B268" s="8"/>
    </row>
    <row r="269" spans="2:2" ht="18.75" customHeight="1" x14ac:dyDescent="0.35">
      <c r="B269" s="8"/>
    </row>
    <row r="270" spans="2:2" ht="18.75" customHeight="1" x14ac:dyDescent="0.35">
      <c r="B270" s="8"/>
    </row>
    <row r="271" spans="2:2" ht="18.75" customHeight="1" x14ac:dyDescent="0.35">
      <c r="B271" s="8"/>
    </row>
    <row r="272" spans="2:2" ht="18.75" customHeight="1" x14ac:dyDescent="0.35">
      <c r="B272" s="8"/>
    </row>
    <row r="273" spans="2:2" ht="18.75" customHeight="1" x14ac:dyDescent="0.35">
      <c r="B273" s="8"/>
    </row>
    <row r="274" spans="2:2" ht="18.75" customHeight="1" x14ac:dyDescent="0.35">
      <c r="B274" s="8"/>
    </row>
    <row r="275" spans="2:2" ht="18.75" customHeight="1" x14ac:dyDescent="0.35">
      <c r="B275" s="8"/>
    </row>
    <row r="276" spans="2:2" ht="18.75" customHeight="1" x14ac:dyDescent="0.35">
      <c r="B276" s="8"/>
    </row>
    <row r="277" spans="2:2" ht="18.75" customHeight="1" x14ac:dyDescent="0.35">
      <c r="B277" s="8"/>
    </row>
    <row r="278" spans="2:2" ht="18.75" customHeight="1" x14ac:dyDescent="0.35">
      <c r="B278" s="8"/>
    </row>
    <row r="279" spans="2:2" ht="18.75" customHeight="1" x14ac:dyDescent="0.35">
      <c r="B279" s="8"/>
    </row>
    <row r="280" spans="2:2" ht="18.75" customHeight="1" x14ac:dyDescent="0.35">
      <c r="B280" s="8"/>
    </row>
    <row r="281" spans="2:2" ht="18.75" customHeight="1" x14ac:dyDescent="0.35">
      <c r="B281" s="8"/>
    </row>
    <row r="282" spans="2:2" ht="18.75" customHeight="1" x14ac:dyDescent="0.35">
      <c r="B282" s="8"/>
    </row>
    <row r="283" spans="2:2" ht="18.75" customHeight="1" x14ac:dyDescent="0.35">
      <c r="B283" s="8"/>
    </row>
    <row r="284" spans="2:2" ht="18.75" customHeight="1" x14ac:dyDescent="0.35">
      <c r="B284" s="8"/>
    </row>
    <row r="285" spans="2:2" ht="18.75" customHeight="1" x14ac:dyDescent="0.35">
      <c r="B285" s="8"/>
    </row>
    <row r="286" spans="2:2" ht="18.75" customHeight="1" x14ac:dyDescent="0.35">
      <c r="B286" s="8"/>
    </row>
    <row r="287" spans="2:2" ht="18.75" customHeight="1" x14ac:dyDescent="0.35">
      <c r="B287" s="8"/>
    </row>
    <row r="288" spans="2:2" ht="18.75" customHeight="1" x14ac:dyDescent="0.35">
      <c r="B288" s="8"/>
    </row>
    <row r="289" spans="2:2" ht="18.75" customHeight="1" x14ac:dyDescent="0.35">
      <c r="B289" s="8"/>
    </row>
    <row r="290" spans="2:2" ht="18.75" customHeight="1" x14ac:dyDescent="0.35"/>
  </sheetData>
  <sheetProtection algorithmName="SHA-512" hashValue="J+nd6uDydvxbmlhetXLhXXR63LEYuiNLZXUwP4KpUTiN2EeKqkx61Uufku8FVeLJIueVgwijt/24JEqa7JpMfQ==" saltValue="rcMUuF2tNNvtI0rD6g8d1Q==" spinCount="100000" sheet="1" sort="0" autoFilter="0" pivotTables="0"/>
  <autoFilter ref="A3:E3" xr:uid="{7E3EBE48-323E-4C7F-A22E-32EFB174D8F4}"/>
  <mergeCells count="1">
    <mergeCell ref="A19:E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9010-17ED-4E00-8E15-E1848F744696}">
  <sheetPr codeName="Sheet20"/>
  <dimension ref="A1:C284"/>
  <sheetViews>
    <sheetView zoomScaleNormal="100" workbookViewId="0">
      <selection activeCell="D280" sqref="D280"/>
    </sheetView>
  </sheetViews>
  <sheetFormatPr defaultColWidth="9.109375" defaultRowHeight="18" x14ac:dyDescent="0.35"/>
  <cols>
    <col min="1" max="1" width="22.88671875" style="3" customWidth="1"/>
    <col min="2" max="2" width="51.33203125" style="3" customWidth="1"/>
    <col min="3" max="3" width="17.88671875" style="3" bestFit="1" customWidth="1"/>
    <col min="4" max="4" width="21" style="3" customWidth="1"/>
    <col min="5" max="16384" width="9.109375" style="3"/>
  </cols>
  <sheetData>
    <row r="1" spans="1:3" ht="22.8" x14ac:dyDescent="0.4">
      <c r="A1" s="114" t="s">
        <v>434</v>
      </c>
      <c r="B1" s="114"/>
      <c r="C1" s="5">
        <v>2024</v>
      </c>
    </row>
    <row r="2" spans="1:3" x14ac:dyDescent="0.35">
      <c r="A2" s="44"/>
      <c r="B2" s="11"/>
      <c r="C2" s="18" t="s">
        <v>308</v>
      </c>
    </row>
    <row r="3" spans="1:3" ht="47.25" customHeight="1" x14ac:dyDescent="0.35">
      <c r="A3" s="11" t="s">
        <v>3</v>
      </c>
      <c r="B3" s="11" t="s">
        <v>4</v>
      </c>
      <c r="C3" s="18" t="s">
        <v>311</v>
      </c>
    </row>
    <row r="4" spans="1:3" ht="18.75" customHeight="1" x14ac:dyDescent="0.35">
      <c r="A4" s="3" t="s">
        <v>14</v>
      </c>
      <c r="B4" s="8" t="s">
        <v>15</v>
      </c>
      <c r="C4" s="7">
        <v>0</v>
      </c>
    </row>
    <row r="5" spans="1:3" ht="18.75" customHeight="1" x14ac:dyDescent="0.35">
      <c r="A5" s="3" t="s">
        <v>16</v>
      </c>
      <c r="B5" s="8" t="s">
        <v>17</v>
      </c>
      <c r="C5" s="7">
        <v>0</v>
      </c>
    </row>
    <row r="6" spans="1:3" ht="18.75" customHeight="1" x14ac:dyDescent="0.35">
      <c r="A6" s="3" t="s">
        <v>18</v>
      </c>
      <c r="B6" s="8" t="s">
        <v>18</v>
      </c>
      <c r="C6" s="7">
        <v>0</v>
      </c>
    </row>
    <row r="7" spans="1:3" ht="18.75" customHeight="1" x14ac:dyDescent="0.35">
      <c r="A7" s="3" t="s">
        <v>19</v>
      </c>
      <c r="B7" s="8" t="s">
        <v>19</v>
      </c>
      <c r="C7" s="65">
        <v>324.83999999999997</v>
      </c>
    </row>
    <row r="8" spans="1:3" ht="18.75" customHeight="1" x14ac:dyDescent="0.35">
      <c r="A8" s="3" t="s">
        <v>14</v>
      </c>
      <c r="B8" s="8" t="s">
        <v>20</v>
      </c>
      <c r="C8" s="7">
        <v>0</v>
      </c>
    </row>
    <row r="9" spans="1:3" ht="18.75" customHeight="1" x14ac:dyDescent="0.35">
      <c r="A9" s="3" t="s">
        <v>21</v>
      </c>
      <c r="B9" s="8" t="s">
        <v>21</v>
      </c>
      <c r="C9" s="7">
        <v>0</v>
      </c>
    </row>
    <row r="10" spans="1:3" ht="18.75" customHeight="1" x14ac:dyDescent="0.35">
      <c r="A10" s="3" t="s">
        <v>22</v>
      </c>
      <c r="B10" s="8" t="s">
        <v>23</v>
      </c>
      <c r="C10" s="7">
        <v>0</v>
      </c>
    </row>
    <row r="11" spans="1:3" ht="18.75" customHeight="1" x14ac:dyDescent="0.35">
      <c r="A11" s="3" t="s">
        <v>24</v>
      </c>
      <c r="B11" s="8" t="s">
        <v>25</v>
      </c>
      <c r="C11" s="7">
        <v>0</v>
      </c>
    </row>
    <row r="12" spans="1:3" ht="18.75" customHeight="1" x14ac:dyDescent="0.35">
      <c r="A12" s="3" t="s">
        <v>26</v>
      </c>
      <c r="B12" s="8" t="s">
        <v>26</v>
      </c>
      <c r="C12" s="7">
        <v>0</v>
      </c>
    </row>
    <row r="13" spans="1:3" ht="18.75" customHeight="1" x14ac:dyDescent="0.35">
      <c r="A13" s="3" t="s">
        <v>14</v>
      </c>
      <c r="B13" s="8" t="s">
        <v>27</v>
      </c>
      <c r="C13" s="7">
        <v>0</v>
      </c>
    </row>
    <row r="14" spans="1:3" ht="18.75" customHeight="1" x14ac:dyDescent="0.35">
      <c r="A14" s="3" t="s">
        <v>28</v>
      </c>
      <c r="B14" s="8" t="s">
        <v>29</v>
      </c>
      <c r="C14" s="7">
        <v>0</v>
      </c>
    </row>
    <row r="15" spans="1:3" ht="18.75" customHeight="1" x14ac:dyDescent="0.35">
      <c r="A15" s="3" t="s">
        <v>30</v>
      </c>
      <c r="B15" s="8" t="s">
        <v>30</v>
      </c>
      <c r="C15" s="65">
        <v>4572.13</v>
      </c>
    </row>
    <row r="16" spans="1:3" ht="18.75" customHeight="1" x14ac:dyDescent="0.35">
      <c r="A16" s="3" t="s">
        <v>31</v>
      </c>
      <c r="B16" s="8" t="s">
        <v>32</v>
      </c>
      <c r="C16" s="7">
        <v>0</v>
      </c>
    </row>
    <row r="17" spans="1:3" ht="18.75" customHeight="1" x14ac:dyDescent="0.35">
      <c r="A17" s="3" t="s">
        <v>33</v>
      </c>
      <c r="B17" s="8" t="s">
        <v>33</v>
      </c>
      <c r="C17" s="7">
        <v>0</v>
      </c>
    </row>
    <row r="18" spans="1:3" ht="18.75" customHeight="1" x14ac:dyDescent="0.35">
      <c r="A18" s="3" t="s">
        <v>34</v>
      </c>
      <c r="B18" s="8" t="s">
        <v>35</v>
      </c>
      <c r="C18" s="7">
        <v>0</v>
      </c>
    </row>
    <row r="19" spans="1:3" ht="18.75" customHeight="1" x14ac:dyDescent="0.35">
      <c r="A19" s="3" t="s">
        <v>36</v>
      </c>
      <c r="B19" s="8" t="s">
        <v>37</v>
      </c>
      <c r="C19" s="7">
        <v>0</v>
      </c>
    </row>
    <row r="20" spans="1:3" ht="18.75" customHeight="1" x14ac:dyDescent="0.35">
      <c r="A20" s="3" t="s">
        <v>38</v>
      </c>
      <c r="B20" s="8" t="s">
        <v>38</v>
      </c>
      <c r="C20" s="65">
        <v>1981.53</v>
      </c>
    </row>
    <row r="21" spans="1:3" ht="18.75" customHeight="1" x14ac:dyDescent="0.35">
      <c r="A21" s="3" t="s">
        <v>39</v>
      </c>
      <c r="B21" s="8" t="s">
        <v>39</v>
      </c>
      <c r="C21" s="7">
        <v>0</v>
      </c>
    </row>
    <row r="22" spans="1:3" ht="18.75" customHeight="1" x14ac:dyDescent="0.35">
      <c r="A22" s="3" t="s">
        <v>40</v>
      </c>
      <c r="B22" s="8" t="s">
        <v>41</v>
      </c>
      <c r="C22" s="7">
        <v>0</v>
      </c>
    </row>
    <row r="23" spans="1:3" ht="18.75" customHeight="1" x14ac:dyDescent="0.35">
      <c r="A23" s="3" t="s">
        <v>42</v>
      </c>
      <c r="B23" s="8" t="s">
        <v>43</v>
      </c>
      <c r="C23" s="7">
        <v>0</v>
      </c>
    </row>
    <row r="24" spans="1:3" ht="18.75" customHeight="1" x14ac:dyDescent="0.35">
      <c r="A24" s="3" t="s">
        <v>36</v>
      </c>
      <c r="B24" s="8" t="s">
        <v>44</v>
      </c>
      <c r="C24" s="7">
        <v>0</v>
      </c>
    </row>
    <row r="25" spans="1:3" ht="18.75" customHeight="1" x14ac:dyDescent="0.35">
      <c r="A25" s="3" t="s">
        <v>36</v>
      </c>
      <c r="B25" s="8" t="s">
        <v>36</v>
      </c>
      <c r="C25" s="7">
        <v>0</v>
      </c>
    </row>
    <row r="26" spans="1:3" ht="18.75" customHeight="1" x14ac:dyDescent="0.35">
      <c r="A26" s="3" t="s">
        <v>45</v>
      </c>
      <c r="B26" s="8" t="s">
        <v>46</v>
      </c>
      <c r="C26" s="7">
        <v>0</v>
      </c>
    </row>
    <row r="27" spans="1:3" ht="18.75" customHeight="1" x14ac:dyDescent="0.35">
      <c r="A27" s="3" t="s">
        <v>47</v>
      </c>
      <c r="B27" s="8" t="s">
        <v>48</v>
      </c>
      <c r="C27" s="7">
        <v>0</v>
      </c>
    </row>
    <row r="28" spans="1:3" ht="18.75" customHeight="1" x14ac:dyDescent="0.35">
      <c r="A28" s="3" t="s">
        <v>49</v>
      </c>
      <c r="B28" s="8" t="s">
        <v>49</v>
      </c>
      <c r="C28" s="7">
        <v>0</v>
      </c>
    </row>
    <row r="29" spans="1:3" ht="18.75" customHeight="1" x14ac:dyDescent="0.35">
      <c r="A29" s="3" t="s">
        <v>34</v>
      </c>
      <c r="B29" s="8" t="s">
        <v>50</v>
      </c>
      <c r="C29" s="7">
        <v>0</v>
      </c>
    </row>
    <row r="30" spans="1:3" ht="18.75" customHeight="1" x14ac:dyDescent="0.35">
      <c r="A30" s="3" t="s">
        <v>47</v>
      </c>
      <c r="B30" s="8" t="s">
        <v>47</v>
      </c>
      <c r="C30" s="65">
        <v>4182.32</v>
      </c>
    </row>
    <row r="31" spans="1:3" ht="18.75" customHeight="1" x14ac:dyDescent="0.35">
      <c r="A31" s="3" t="s">
        <v>34</v>
      </c>
      <c r="B31" s="8" t="s">
        <v>51</v>
      </c>
      <c r="C31" s="7">
        <v>0</v>
      </c>
    </row>
    <row r="32" spans="1:3" ht="18.75" customHeight="1" x14ac:dyDescent="0.35">
      <c r="A32" s="3" t="s">
        <v>52</v>
      </c>
      <c r="B32" s="8" t="s">
        <v>53</v>
      </c>
      <c r="C32" s="7">
        <v>0</v>
      </c>
    </row>
    <row r="33" spans="1:3" ht="18.75" customHeight="1" x14ac:dyDescent="0.35">
      <c r="A33" s="3" t="s">
        <v>34</v>
      </c>
      <c r="B33" s="8" t="s">
        <v>54</v>
      </c>
      <c r="C33" s="7">
        <v>0</v>
      </c>
    </row>
    <row r="34" spans="1:3" ht="18.75" customHeight="1" x14ac:dyDescent="0.35">
      <c r="A34" s="3" t="s">
        <v>55</v>
      </c>
      <c r="B34" s="8" t="s">
        <v>56</v>
      </c>
      <c r="C34" s="7">
        <v>0</v>
      </c>
    </row>
    <row r="35" spans="1:3" ht="18.75" customHeight="1" x14ac:dyDescent="0.35">
      <c r="A35" s="3" t="s">
        <v>34</v>
      </c>
      <c r="B35" s="8" t="s">
        <v>57</v>
      </c>
      <c r="C35" s="7">
        <v>0</v>
      </c>
    </row>
    <row r="36" spans="1:3" ht="18.75" customHeight="1" x14ac:dyDescent="0.35">
      <c r="A36" s="3" t="s">
        <v>58</v>
      </c>
      <c r="B36" s="8" t="s">
        <v>58</v>
      </c>
      <c r="C36" s="7">
        <v>0</v>
      </c>
    </row>
    <row r="37" spans="1:3" ht="18.75" customHeight="1" x14ac:dyDescent="0.35">
      <c r="A37" s="3" t="s">
        <v>34</v>
      </c>
      <c r="B37" s="8" t="s">
        <v>59</v>
      </c>
      <c r="C37" s="7">
        <v>0</v>
      </c>
    </row>
    <row r="38" spans="1:3" ht="18.75" customHeight="1" x14ac:dyDescent="0.35">
      <c r="A38" s="3" t="s">
        <v>60</v>
      </c>
      <c r="B38" s="8" t="s">
        <v>61</v>
      </c>
      <c r="C38" s="7">
        <v>0</v>
      </c>
    </row>
    <row r="39" spans="1:3" ht="18.75" customHeight="1" x14ac:dyDescent="0.35">
      <c r="A39" s="3" t="s">
        <v>22</v>
      </c>
      <c r="B39" s="8" t="s">
        <v>62</v>
      </c>
      <c r="C39" s="7">
        <v>0</v>
      </c>
    </row>
    <row r="40" spans="1:3" ht="18.75" customHeight="1" x14ac:dyDescent="0.35">
      <c r="A40" s="3" t="s">
        <v>63</v>
      </c>
      <c r="B40" s="8" t="s">
        <v>64</v>
      </c>
      <c r="C40" s="7">
        <v>0</v>
      </c>
    </row>
    <row r="41" spans="1:3" ht="18.75" customHeight="1" x14ac:dyDescent="0.35">
      <c r="A41" s="3" t="s">
        <v>14</v>
      </c>
      <c r="B41" s="8" t="s">
        <v>65</v>
      </c>
      <c r="C41" s="7">
        <v>0</v>
      </c>
    </row>
    <row r="42" spans="1:3" ht="18.75" customHeight="1" x14ac:dyDescent="0.35">
      <c r="A42" s="3" t="s">
        <v>66</v>
      </c>
      <c r="B42" s="8" t="s">
        <v>67</v>
      </c>
      <c r="C42" s="7">
        <v>0</v>
      </c>
    </row>
    <row r="43" spans="1:3" ht="18.75" customHeight="1" x14ac:dyDescent="0.35">
      <c r="A43" s="3" t="s">
        <v>14</v>
      </c>
      <c r="B43" s="8" t="s">
        <v>68</v>
      </c>
      <c r="C43" s="7">
        <v>0</v>
      </c>
    </row>
    <row r="44" spans="1:3" ht="18.75" customHeight="1" x14ac:dyDescent="0.35">
      <c r="A44" s="3" t="s">
        <v>42</v>
      </c>
      <c r="B44" s="8" t="s">
        <v>42</v>
      </c>
      <c r="C44" s="7">
        <v>0</v>
      </c>
    </row>
    <row r="45" spans="1:3" ht="18.75" customHeight="1" x14ac:dyDescent="0.35">
      <c r="A45" s="3" t="s">
        <v>14</v>
      </c>
      <c r="B45" s="8" t="s">
        <v>69</v>
      </c>
      <c r="C45" s="7">
        <v>0</v>
      </c>
    </row>
    <row r="46" spans="1:3" ht="18.75" customHeight="1" x14ac:dyDescent="0.35">
      <c r="A46" s="3" t="s">
        <v>22</v>
      </c>
      <c r="B46" s="8" t="s">
        <v>70</v>
      </c>
      <c r="C46" s="7">
        <v>0</v>
      </c>
    </row>
    <row r="47" spans="1:3" ht="18.75" customHeight="1" x14ac:dyDescent="0.35">
      <c r="A47" s="3" t="s">
        <v>14</v>
      </c>
      <c r="B47" s="8" t="s">
        <v>71</v>
      </c>
      <c r="C47" s="7">
        <v>0</v>
      </c>
    </row>
    <row r="48" spans="1:3" ht="18.75" customHeight="1" x14ac:dyDescent="0.35">
      <c r="A48" s="3" t="s">
        <v>72</v>
      </c>
      <c r="B48" s="8" t="s">
        <v>72</v>
      </c>
      <c r="C48" s="7">
        <v>0</v>
      </c>
    </row>
    <row r="49" spans="1:3" ht="18.75" customHeight="1" x14ac:dyDescent="0.35">
      <c r="A49" s="3" t="s">
        <v>73</v>
      </c>
      <c r="B49" s="8" t="s">
        <v>73</v>
      </c>
      <c r="C49" s="7">
        <v>0</v>
      </c>
    </row>
    <row r="50" spans="1:3" ht="18.75" customHeight="1" x14ac:dyDescent="0.35">
      <c r="A50" s="3" t="s">
        <v>74</v>
      </c>
      <c r="B50" s="8" t="s">
        <v>74</v>
      </c>
      <c r="C50" s="7">
        <v>0</v>
      </c>
    </row>
    <row r="51" spans="1:3" ht="18.75" customHeight="1" x14ac:dyDescent="0.35">
      <c r="A51" s="3" t="s">
        <v>75</v>
      </c>
      <c r="B51" s="8" t="s">
        <v>76</v>
      </c>
      <c r="C51" s="7">
        <v>0</v>
      </c>
    </row>
    <row r="52" spans="1:3" ht="18.75" customHeight="1" x14ac:dyDescent="0.35">
      <c r="A52" s="3" t="s">
        <v>77</v>
      </c>
      <c r="B52" s="8" t="s">
        <v>77</v>
      </c>
      <c r="C52" s="65">
        <v>836.46</v>
      </c>
    </row>
    <row r="53" spans="1:3" ht="18.75" customHeight="1" x14ac:dyDescent="0.35">
      <c r="A53" s="3" t="s">
        <v>78</v>
      </c>
      <c r="B53" s="8" t="s">
        <v>78</v>
      </c>
      <c r="C53" s="7">
        <v>0</v>
      </c>
    </row>
    <row r="54" spans="1:3" ht="18.75" customHeight="1" x14ac:dyDescent="0.35">
      <c r="A54" s="3" t="s">
        <v>34</v>
      </c>
      <c r="B54" s="8" t="s">
        <v>79</v>
      </c>
      <c r="C54" s="7">
        <v>0</v>
      </c>
    </row>
    <row r="55" spans="1:3" ht="18.75" customHeight="1" x14ac:dyDescent="0.35">
      <c r="A55" s="3" t="s">
        <v>75</v>
      </c>
      <c r="B55" s="8" t="s">
        <v>80</v>
      </c>
      <c r="C55" s="7">
        <v>0</v>
      </c>
    </row>
    <row r="56" spans="1:3" ht="18.75" customHeight="1" x14ac:dyDescent="0.35">
      <c r="A56" s="3" t="s">
        <v>40</v>
      </c>
      <c r="B56" s="8" t="s">
        <v>40</v>
      </c>
      <c r="C56" s="65">
        <v>2647.45</v>
      </c>
    </row>
    <row r="57" spans="1:3" ht="18.75" customHeight="1" x14ac:dyDescent="0.35">
      <c r="A57" s="3" t="s">
        <v>58</v>
      </c>
      <c r="B57" s="8" t="s">
        <v>81</v>
      </c>
      <c r="C57" s="7">
        <v>0</v>
      </c>
    </row>
    <row r="58" spans="1:3" ht="18.75" customHeight="1" x14ac:dyDescent="0.35">
      <c r="A58" s="3" t="s">
        <v>34</v>
      </c>
      <c r="B58" s="8" t="s">
        <v>82</v>
      </c>
      <c r="C58" s="7">
        <v>0</v>
      </c>
    </row>
    <row r="59" spans="1:3" ht="18.75" customHeight="1" x14ac:dyDescent="0.35">
      <c r="A59" s="3" t="s">
        <v>83</v>
      </c>
      <c r="B59" s="8" t="s">
        <v>84</v>
      </c>
      <c r="C59" s="7">
        <v>0</v>
      </c>
    </row>
    <row r="60" spans="1:3" ht="18.75" customHeight="1" x14ac:dyDescent="0.35">
      <c r="A60" s="3" t="s">
        <v>83</v>
      </c>
      <c r="B60" s="8" t="s">
        <v>85</v>
      </c>
      <c r="C60" s="7">
        <v>0</v>
      </c>
    </row>
    <row r="61" spans="1:3" ht="18.75" customHeight="1" x14ac:dyDescent="0.35">
      <c r="A61" s="3" t="s">
        <v>86</v>
      </c>
      <c r="B61" s="8" t="s">
        <v>86</v>
      </c>
      <c r="C61" s="7">
        <v>0</v>
      </c>
    </row>
    <row r="62" spans="1:3" ht="18.75" customHeight="1" x14ac:dyDescent="0.35">
      <c r="A62" s="3" t="s">
        <v>63</v>
      </c>
      <c r="B62" s="8" t="s">
        <v>87</v>
      </c>
      <c r="C62" s="7">
        <v>0</v>
      </c>
    </row>
    <row r="63" spans="1:3" ht="18.75" customHeight="1" x14ac:dyDescent="0.35">
      <c r="A63" s="3" t="s">
        <v>22</v>
      </c>
      <c r="B63" s="8" t="s">
        <v>88</v>
      </c>
      <c r="C63" s="7">
        <v>0</v>
      </c>
    </row>
    <row r="64" spans="1:3" ht="18.75" customHeight="1" x14ac:dyDescent="0.35">
      <c r="A64" s="3" t="s">
        <v>22</v>
      </c>
      <c r="B64" s="8" t="s">
        <v>89</v>
      </c>
      <c r="C64" s="7">
        <v>0</v>
      </c>
    </row>
    <row r="65" spans="1:3" ht="18.75" customHeight="1" x14ac:dyDescent="0.35">
      <c r="A65" s="3" t="s">
        <v>90</v>
      </c>
      <c r="B65" s="8" t="s">
        <v>91</v>
      </c>
      <c r="C65" s="7">
        <v>0</v>
      </c>
    </row>
    <row r="66" spans="1:3" ht="18.75" customHeight="1" x14ac:dyDescent="0.35">
      <c r="A66" s="3" t="s">
        <v>92</v>
      </c>
      <c r="B66" s="8" t="s">
        <v>93</v>
      </c>
      <c r="C66" s="7">
        <v>0</v>
      </c>
    </row>
    <row r="67" spans="1:3" ht="18.75" customHeight="1" x14ac:dyDescent="0.35">
      <c r="A67" s="3" t="s">
        <v>94</v>
      </c>
      <c r="B67" s="8" t="s">
        <v>94</v>
      </c>
      <c r="C67" s="68">
        <v>1717.6</v>
      </c>
    </row>
    <row r="68" spans="1:3" ht="18.75" customHeight="1" x14ac:dyDescent="0.35">
      <c r="A68" s="3" t="s">
        <v>22</v>
      </c>
      <c r="B68" s="8" t="s">
        <v>95</v>
      </c>
      <c r="C68" s="65">
        <v>52924.68</v>
      </c>
    </row>
    <row r="69" spans="1:3" ht="18.75" customHeight="1" x14ac:dyDescent="0.35">
      <c r="A69" s="3" t="s">
        <v>22</v>
      </c>
      <c r="B69" s="8" t="s">
        <v>96</v>
      </c>
      <c r="C69" s="7">
        <v>0</v>
      </c>
    </row>
    <row r="70" spans="1:3" ht="18.75" customHeight="1" x14ac:dyDescent="0.35">
      <c r="A70" s="3" t="s">
        <v>40</v>
      </c>
      <c r="B70" s="8" t="s">
        <v>97</v>
      </c>
      <c r="C70" s="7">
        <v>0</v>
      </c>
    </row>
    <row r="71" spans="1:3" ht="18.75" customHeight="1" x14ac:dyDescent="0.35">
      <c r="A71" s="3" t="s">
        <v>98</v>
      </c>
      <c r="B71" s="8" t="s">
        <v>98</v>
      </c>
      <c r="C71" s="65">
        <v>243.63</v>
      </c>
    </row>
    <row r="72" spans="1:3" ht="18.75" customHeight="1" x14ac:dyDescent="0.35">
      <c r="A72" s="3" t="s">
        <v>99</v>
      </c>
      <c r="B72" s="8" t="s">
        <v>100</v>
      </c>
      <c r="C72" s="7">
        <v>0</v>
      </c>
    </row>
    <row r="73" spans="1:3" ht="18.75" customHeight="1" x14ac:dyDescent="0.35">
      <c r="A73" s="3" t="s">
        <v>14</v>
      </c>
      <c r="B73" s="8" t="s">
        <v>101</v>
      </c>
      <c r="C73" s="7">
        <v>0</v>
      </c>
    </row>
    <row r="74" spans="1:3" ht="18.75" customHeight="1" x14ac:dyDescent="0.35">
      <c r="A74" s="3" t="s">
        <v>102</v>
      </c>
      <c r="B74" s="8" t="s">
        <v>103</v>
      </c>
      <c r="C74" s="7">
        <v>0</v>
      </c>
    </row>
    <row r="75" spans="1:3" ht="18.75" customHeight="1" x14ac:dyDescent="0.35">
      <c r="A75" s="3" t="s">
        <v>75</v>
      </c>
      <c r="B75" s="8" t="s">
        <v>104</v>
      </c>
      <c r="C75" s="7">
        <v>0</v>
      </c>
    </row>
    <row r="76" spans="1:3" ht="18.75" customHeight="1" x14ac:dyDescent="0.35">
      <c r="A76" s="3" t="s">
        <v>92</v>
      </c>
      <c r="B76" s="8" t="s">
        <v>92</v>
      </c>
      <c r="C76" s="7">
        <v>0</v>
      </c>
    </row>
    <row r="77" spans="1:3" ht="18.75" customHeight="1" x14ac:dyDescent="0.35">
      <c r="A77" s="3" t="s">
        <v>105</v>
      </c>
      <c r="B77" s="8" t="s">
        <v>106</v>
      </c>
      <c r="C77" s="7">
        <v>0</v>
      </c>
    </row>
    <row r="78" spans="1:3" ht="18.75" customHeight="1" x14ac:dyDescent="0.35">
      <c r="A78" s="3" t="s">
        <v>107</v>
      </c>
      <c r="B78" s="8" t="s">
        <v>107</v>
      </c>
      <c r="C78" s="7">
        <v>0</v>
      </c>
    </row>
    <row r="79" spans="1:3" ht="18.75" customHeight="1" x14ac:dyDescent="0.35">
      <c r="A79" s="3" t="s">
        <v>42</v>
      </c>
      <c r="B79" s="8" t="s">
        <v>108</v>
      </c>
      <c r="C79" s="7">
        <v>0</v>
      </c>
    </row>
    <row r="80" spans="1:3" ht="18.75" customHeight="1" x14ac:dyDescent="0.35">
      <c r="A80" s="3" t="s">
        <v>94</v>
      </c>
      <c r="B80" s="8" t="s">
        <v>109</v>
      </c>
      <c r="C80" s="65">
        <v>109.63</v>
      </c>
    </row>
    <row r="81" spans="1:3" ht="18.75" customHeight="1" x14ac:dyDescent="0.35">
      <c r="A81" s="3" t="s">
        <v>34</v>
      </c>
      <c r="B81" s="8" t="s">
        <v>110</v>
      </c>
      <c r="C81" s="7">
        <v>0</v>
      </c>
    </row>
    <row r="82" spans="1:3" ht="18.75" customHeight="1" x14ac:dyDescent="0.35">
      <c r="A82" s="3" t="s">
        <v>34</v>
      </c>
      <c r="B82" s="8" t="s">
        <v>111</v>
      </c>
      <c r="C82" s="7">
        <v>0</v>
      </c>
    </row>
    <row r="83" spans="1:3" ht="18.75" customHeight="1" x14ac:dyDescent="0.35">
      <c r="A83" s="3" t="s">
        <v>63</v>
      </c>
      <c r="B83" s="8" t="s">
        <v>112</v>
      </c>
      <c r="C83" s="7">
        <v>0</v>
      </c>
    </row>
    <row r="84" spans="1:3" ht="18.75" customHeight="1" x14ac:dyDescent="0.35">
      <c r="A84" s="3" t="s">
        <v>113</v>
      </c>
      <c r="B84" s="8" t="s">
        <v>114</v>
      </c>
      <c r="C84" s="7">
        <v>0</v>
      </c>
    </row>
    <row r="85" spans="1:3" ht="18.75" customHeight="1" x14ac:dyDescent="0.35">
      <c r="A85" s="3" t="s">
        <v>34</v>
      </c>
      <c r="B85" s="8" t="s">
        <v>115</v>
      </c>
      <c r="C85" s="7">
        <v>0</v>
      </c>
    </row>
    <row r="86" spans="1:3" ht="18.75" customHeight="1" x14ac:dyDescent="0.35">
      <c r="A86" s="3" t="s">
        <v>116</v>
      </c>
      <c r="B86" s="8" t="s">
        <v>117</v>
      </c>
      <c r="C86" s="7">
        <v>0</v>
      </c>
    </row>
    <row r="87" spans="1:3" ht="18.75" customHeight="1" x14ac:dyDescent="0.35">
      <c r="A87" s="3" t="s">
        <v>63</v>
      </c>
      <c r="B87" s="8" t="s">
        <v>118</v>
      </c>
      <c r="C87" s="7">
        <v>0</v>
      </c>
    </row>
    <row r="88" spans="1:3" ht="18.75" customHeight="1" x14ac:dyDescent="0.35">
      <c r="A88" s="3" t="s">
        <v>63</v>
      </c>
      <c r="B88" s="8" t="s">
        <v>119</v>
      </c>
      <c r="C88" s="7">
        <v>0</v>
      </c>
    </row>
    <row r="89" spans="1:3" ht="18.75" customHeight="1" x14ac:dyDescent="0.35">
      <c r="A89" s="3" t="s">
        <v>63</v>
      </c>
      <c r="B89" s="8" t="s">
        <v>120</v>
      </c>
      <c r="C89" s="7">
        <v>0</v>
      </c>
    </row>
    <row r="90" spans="1:3" ht="18.75" customHeight="1" x14ac:dyDescent="0.35">
      <c r="A90" s="3" t="s">
        <v>121</v>
      </c>
      <c r="B90" s="8" t="s">
        <v>122</v>
      </c>
      <c r="C90" s="7">
        <v>0</v>
      </c>
    </row>
    <row r="91" spans="1:3" ht="18.75" customHeight="1" x14ac:dyDescent="0.35">
      <c r="A91" s="3" t="s">
        <v>75</v>
      </c>
      <c r="B91" s="8" t="s">
        <v>123</v>
      </c>
      <c r="C91" s="7">
        <v>0</v>
      </c>
    </row>
    <row r="92" spans="1:3" ht="18.75" customHeight="1" x14ac:dyDescent="0.35">
      <c r="A92" s="3" t="s">
        <v>45</v>
      </c>
      <c r="B92" s="8" t="s">
        <v>124</v>
      </c>
      <c r="C92" s="7">
        <v>0</v>
      </c>
    </row>
    <row r="93" spans="1:3" ht="18.75" customHeight="1" x14ac:dyDescent="0.35">
      <c r="A93" s="3" t="s">
        <v>105</v>
      </c>
      <c r="B93" s="8" t="s">
        <v>125</v>
      </c>
      <c r="C93" s="7">
        <v>0</v>
      </c>
    </row>
    <row r="94" spans="1:3" ht="18.75" customHeight="1" x14ac:dyDescent="0.35">
      <c r="A94" s="3" t="s">
        <v>14</v>
      </c>
      <c r="B94" s="8" t="s">
        <v>339</v>
      </c>
      <c r="C94" s="7">
        <v>0</v>
      </c>
    </row>
    <row r="95" spans="1:3" ht="18.75" customHeight="1" x14ac:dyDescent="0.35">
      <c r="A95" s="3" t="s">
        <v>22</v>
      </c>
      <c r="B95" s="8" t="s">
        <v>127</v>
      </c>
      <c r="C95" s="7">
        <v>0</v>
      </c>
    </row>
    <row r="96" spans="1:3" ht="18.75" customHeight="1" x14ac:dyDescent="0.35">
      <c r="A96" s="3" t="s">
        <v>99</v>
      </c>
      <c r="B96" s="8" t="s">
        <v>128</v>
      </c>
      <c r="C96" s="7">
        <v>0</v>
      </c>
    </row>
    <row r="97" spans="1:3" ht="18.75" customHeight="1" x14ac:dyDescent="0.35">
      <c r="A97" s="3" t="s">
        <v>63</v>
      </c>
      <c r="B97" s="8" t="s">
        <v>129</v>
      </c>
      <c r="C97" s="7">
        <v>0</v>
      </c>
    </row>
    <row r="98" spans="1:3" ht="18.75" customHeight="1" x14ac:dyDescent="0.35">
      <c r="A98" s="3" t="s">
        <v>63</v>
      </c>
      <c r="B98" s="8" t="s">
        <v>63</v>
      </c>
      <c r="C98" s="65">
        <v>22503.34</v>
      </c>
    </row>
    <row r="99" spans="1:3" ht="18.75" customHeight="1" x14ac:dyDescent="0.35">
      <c r="A99" s="3" t="s">
        <v>60</v>
      </c>
      <c r="B99" s="8" t="s">
        <v>130</v>
      </c>
      <c r="C99" s="7">
        <v>0</v>
      </c>
    </row>
    <row r="100" spans="1:3" ht="18.75" customHeight="1" x14ac:dyDescent="0.35">
      <c r="A100" s="3" t="s">
        <v>24</v>
      </c>
      <c r="B100" s="8" t="s">
        <v>131</v>
      </c>
      <c r="C100" s="7">
        <v>0</v>
      </c>
    </row>
    <row r="101" spans="1:3" ht="18.75" customHeight="1" x14ac:dyDescent="0.35">
      <c r="A101" s="3" t="s">
        <v>132</v>
      </c>
      <c r="B101" s="8" t="s">
        <v>132</v>
      </c>
      <c r="C101" s="7">
        <v>0</v>
      </c>
    </row>
    <row r="102" spans="1:3" ht="18.75" customHeight="1" x14ac:dyDescent="0.35">
      <c r="A102" s="3" t="s">
        <v>133</v>
      </c>
      <c r="B102" s="8" t="s">
        <v>133</v>
      </c>
      <c r="C102" s="7">
        <v>0</v>
      </c>
    </row>
    <row r="103" spans="1:3" ht="18.75" customHeight="1" x14ac:dyDescent="0.35">
      <c r="A103" s="3" t="s">
        <v>63</v>
      </c>
      <c r="B103" s="8" t="s">
        <v>134</v>
      </c>
      <c r="C103" s="7">
        <v>0</v>
      </c>
    </row>
    <row r="104" spans="1:3" ht="18.75" customHeight="1" x14ac:dyDescent="0.35">
      <c r="A104" s="3" t="s">
        <v>24</v>
      </c>
      <c r="B104" s="8" t="s">
        <v>135</v>
      </c>
      <c r="C104" s="7">
        <v>0</v>
      </c>
    </row>
    <row r="105" spans="1:3" ht="18.75" customHeight="1" x14ac:dyDescent="0.35">
      <c r="A105" s="3" t="s">
        <v>24</v>
      </c>
      <c r="B105" s="8" t="s">
        <v>136</v>
      </c>
      <c r="C105" s="7">
        <v>0</v>
      </c>
    </row>
    <row r="106" spans="1:3" ht="18.75" customHeight="1" x14ac:dyDescent="0.35">
      <c r="A106" s="3" t="s">
        <v>14</v>
      </c>
      <c r="B106" s="8" t="s">
        <v>137</v>
      </c>
      <c r="C106" s="7">
        <v>0</v>
      </c>
    </row>
    <row r="107" spans="1:3" ht="18.75" customHeight="1" x14ac:dyDescent="0.35">
      <c r="A107" s="3" t="s">
        <v>14</v>
      </c>
      <c r="B107" s="8" t="s">
        <v>138</v>
      </c>
      <c r="C107" s="65">
        <v>609.08000000000004</v>
      </c>
    </row>
    <row r="108" spans="1:3" ht="18.75" customHeight="1" x14ac:dyDescent="0.35">
      <c r="A108" s="3" t="s">
        <v>99</v>
      </c>
      <c r="B108" s="8" t="s">
        <v>99</v>
      </c>
      <c r="C108" s="65">
        <v>641.97</v>
      </c>
    </row>
    <row r="109" spans="1:3" ht="18.75" customHeight="1" x14ac:dyDescent="0.35">
      <c r="A109" s="3" t="s">
        <v>14</v>
      </c>
      <c r="B109" s="8" t="s">
        <v>139</v>
      </c>
      <c r="C109" s="7">
        <v>0</v>
      </c>
    </row>
    <row r="110" spans="1:3" ht="18.75" customHeight="1" x14ac:dyDescent="0.35">
      <c r="A110" s="3" t="s">
        <v>140</v>
      </c>
      <c r="B110" s="8" t="s">
        <v>140</v>
      </c>
      <c r="C110" s="7">
        <v>0</v>
      </c>
    </row>
    <row r="111" spans="1:3" ht="18.75" customHeight="1" x14ac:dyDescent="0.35">
      <c r="A111" s="3" t="s">
        <v>60</v>
      </c>
      <c r="B111" s="8" t="s">
        <v>141</v>
      </c>
      <c r="C111" s="7">
        <v>0</v>
      </c>
    </row>
    <row r="112" spans="1:3" ht="18.75" customHeight="1" x14ac:dyDescent="0.35">
      <c r="A112" s="3" t="s">
        <v>22</v>
      </c>
      <c r="B112" s="8" t="s">
        <v>142</v>
      </c>
      <c r="C112" s="7">
        <v>0</v>
      </c>
    </row>
    <row r="113" spans="1:3" ht="18.75" customHeight="1" x14ac:dyDescent="0.35">
      <c r="A113" s="3" t="s">
        <v>22</v>
      </c>
      <c r="B113" s="8" t="s">
        <v>143</v>
      </c>
      <c r="C113" s="7">
        <v>0</v>
      </c>
    </row>
    <row r="114" spans="1:3" ht="18.75" customHeight="1" x14ac:dyDescent="0.35">
      <c r="A114" s="3" t="s">
        <v>22</v>
      </c>
      <c r="B114" s="8" t="s">
        <v>144</v>
      </c>
      <c r="C114" s="7">
        <v>0</v>
      </c>
    </row>
    <row r="115" spans="1:3" ht="18.75" customHeight="1" x14ac:dyDescent="0.35">
      <c r="A115" s="3" t="s">
        <v>60</v>
      </c>
      <c r="B115" s="8" t="s">
        <v>145</v>
      </c>
      <c r="C115" s="7">
        <v>0</v>
      </c>
    </row>
    <row r="116" spans="1:3" ht="18.75" customHeight="1" x14ac:dyDescent="0.35">
      <c r="A116" s="3" t="s">
        <v>22</v>
      </c>
      <c r="B116" s="8" t="s">
        <v>146</v>
      </c>
      <c r="C116" s="7">
        <v>0</v>
      </c>
    </row>
    <row r="117" spans="1:3" ht="18.75" customHeight="1" x14ac:dyDescent="0.35">
      <c r="A117" s="3" t="s">
        <v>22</v>
      </c>
      <c r="B117" s="8" t="s">
        <v>147</v>
      </c>
      <c r="C117" s="7">
        <v>0</v>
      </c>
    </row>
    <row r="118" spans="1:3" ht="18.75" customHeight="1" x14ac:dyDescent="0.35">
      <c r="A118" s="3" t="s">
        <v>75</v>
      </c>
      <c r="B118" s="8" t="s">
        <v>148</v>
      </c>
      <c r="C118" s="7">
        <v>0</v>
      </c>
    </row>
    <row r="119" spans="1:3" ht="18.75" customHeight="1" x14ac:dyDescent="0.35">
      <c r="A119" s="3" t="s">
        <v>60</v>
      </c>
      <c r="B119" s="8" t="s">
        <v>149</v>
      </c>
      <c r="C119" s="7">
        <v>0</v>
      </c>
    </row>
    <row r="120" spans="1:3" ht="18.75" customHeight="1" x14ac:dyDescent="0.35">
      <c r="A120" s="3" t="s">
        <v>34</v>
      </c>
      <c r="B120" s="8" t="s">
        <v>150</v>
      </c>
      <c r="C120" s="7">
        <v>0</v>
      </c>
    </row>
    <row r="121" spans="1:3" ht="18.75" customHeight="1" x14ac:dyDescent="0.35">
      <c r="A121" s="3" t="s">
        <v>34</v>
      </c>
      <c r="B121" s="8" t="s">
        <v>151</v>
      </c>
      <c r="C121" s="7">
        <v>0</v>
      </c>
    </row>
    <row r="122" spans="1:3" ht="18.75" customHeight="1" x14ac:dyDescent="0.35">
      <c r="A122" s="3" t="s">
        <v>22</v>
      </c>
      <c r="B122" s="8" t="s">
        <v>152</v>
      </c>
      <c r="C122" s="7">
        <v>0</v>
      </c>
    </row>
    <row r="123" spans="1:3" ht="18.75" customHeight="1" x14ac:dyDescent="0.35">
      <c r="A123" s="3" t="s">
        <v>153</v>
      </c>
      <c r="B123" s="8" t="s">
        <v>153</v>
      </c>
      <c r="C123" s="65">
        <v>1681.05</v>
      </c>
    </row>
    <row r="124" spans="1:3" ht="18.75" customHeight="1" x14ac:dyDescent="0.35">
      <c r="A124" s="3" t="s">
        <v>24</v>
      </c>
      <c r="B124" s="8" t="s">
        <v>154</v>
      </c>
      <c r="C124" s="7">
        <v>0</v>
      </c>
    </row>
    <row r="125" spans="1:3" ht="18.75" customHeight="1" x14ac:dyDescent="0.35">
      <c r="A125" s="3" t="s">
        <v>155</v>
      </c>
      <c r="B125" s="8" t="s">
        <v>156</v>
      </c>
      <c r="C125" s="7">
        <v>0</v>
      </c>
    </row>
    <row r="126" spans="1:3" ht="18.75" customHeight="1" x14ac:dyDescent="0.35">
      <c r="A126" s="3" t="s">
        <v>34</v>
      </c>
      <c r="B126" s="8" t="s">
        <v>157</v>
      </c>
      <c r="C126" s="7">
        <v>0</v>
      </c>
    </row>
    <row r="127" spans="1:3" ht="18.75" customHeight="1" x14ac:dyDescent="0.35">
      <c r="A127" s="3" t="s">
        <v>158</v>
      </c>
      <c r="B127" s="8" t="s">
        <v>158</v>
      </c>
      <c r="C127" s="65">
        <v>1656.69</v>
      </c>
    </row>
    <row r="128" spans="1:3" ht="18.75" customHeight="1" x14ac:dyDescent="0.35">
      <c r="A128" s="3" t="s">
        <v>22</v>
      </c>
      <c r="B128" s="8" t="s">
        <v>159</v>
      </c>
      <c r="C128" s="7">
        <v>0</v>
      </c>
    </row>
    <row r="129" spans="1:3" ht="18.75" customHeight="1" x14ac:dyDescent="0.35">
      <c r="A129" s="3" t="s">
        <v>160</v>
      </c>
      <c r="B129" s="8" t="s">
        <v>160</v>
      </c>
      <c r="C129" s="7">
        <v>0</v>
      </c>
    </row>
    <row r="130" spans="1:3" ht="18.75" customHeight="1" x14ac:dyDescent="0.35">
      <c r="A130" s="3" t="s">
        <v>34</v>
      </c>
      <c r="B130" s="8" t="s">
        <v>161</v>
      </c>
      <c r="C130" s="7">
        <v>0</v>
      </c>
    </row>
    <row r="131" spans="1:3" ht="18.75" customHeight="1" x14ac:dyDescent="0.35">
      <c r="A131" s="3" t="s">
        <v>90</v>
      </c>
      <c r="B131" s="8" t="s">
        <v>90</v>
      </c>
      <c r="C131" s="65">
        <v>2866.72</v>
      </c>
    </row>
    <row r="132" spans="1:3" ht="18.75" customHeight="1" x14ac:dyDescent="0.35">
      <c r="A132" s="3" t="s">
        <v>22</v>
      </c>
      <c r="B132" s="8" t="s">
        <v>162</v>
      </c>
      <c r="C132" s="7">
        <v>0</v>
      </c>
    </row>
    <row r="133" spans="1:3" ht="18.75" customHeight="1" x14ac:dyDescent="0.35">
      <c r="A133" s="3" t="s">
        <v>163</v>
      </c>
      <c r="B133" s="8" t="s">
        <v>164</v>
      </c>
      <c r="C133" s="7">
        <v>0</v>
      </c>
    </row>
    <row r="134" spans="1:3" ht="18.75" customHeight="1" x14ac:dyDescent="0.35">
      <c r="A134" s="3" t="s">
        <v>163</v>
      </c>
      <c r="B134" s="8" t="s">
        <v>163</v>
      </c>
      <c r="C134" s="65">
        <v>81.209999999999994</v>
      </c>
    </row>
    <row r="135" spans="1:3" ht="18.75" customHeight="1" x14ac:dyDescent="0.35">
      <c r="A135" s="3" t="s">
        <v>165</v>
      </c>
      <c r="B135" s="8" t="s">
        <v>165</v>
      </c>
      <c r="C135" s="65">
        <v>162.41999999999999</v>
      </c>
    </row>
    <row r="136" spans="1:3" ht="18.75" customHeight="1" x14ac:dyDescent="0.35">
      <c r="A136" s="3" t="s">
        <v>166</v>
      </c>
      <c r="B136" s="8" t="s">
        <v>166</v>
      </c>
      <c r="C136" s="7">
        <v>0</v>
      </c>
    </row>
    <row r="137" spans="1:3" ht="18.75" customHeight="1" x14ac:dyDescent="0.35">
      <c r="A137" s="3" t="s">
        <v>98</v>
      </c>
      <c r="B137" s="8" t="s">
        <v>167</v>
      </c>
      <c r="C137" s="7">
        <v>0</v>
      </c>
    </row>
    <row r="138" spans="1:3" ht="18.75" customHeight="1" x14ac:dyDescent="0.35">
      <c r="A138" s="3" t="s">
        <v>168</v>
      </c>
      <c r="B138" s="8" t="s">
        <v>168</v>
      </c>
      <c r="C138" s="7">
        <v>0</v>
      </c>
    </row>
    <row r="139" spans="1:3" ht="18.75" customHeight="1" x14ac:dyDescent="0.35">
      <c r="A139" s="3" t="s">
        <v>55</v>
      </c>
      <c r="B139" s="8" t="s">
        <v>169</v>
      </c>
      <c r="C139" s="65">
        <v>3573.25</v>
      </c>
    </row>
    <row r="140" spans="1:3" ht="18.75" customHeight="1" x14ac:dyDescent="0.35">
      <c r="A140" s="3" t="s">
        <v>55</v>
      </c>
      <c r="B140" s="8" t="s">
        <v>55</v>
      </c>
      <c r="C140" s="7">
        <v>0</v>
      </c>
    </row>
    <row r="141" spans="1:3" ht="18.75" customHeight="1" x14ac:dyDescent="0.35">
      <c r="A141" s="3" t="s">
        <v>83</v>
      </c>
      <c r="B141" s="8" t="s">
        <v>170</v>
      </c>
      <c r="C141" s="7">
        <v>0</v>
      </c>
    </row>
    <row r="142" spans="1:3" ht="18.75" customHeight="1" x14ac:dyDescent="0.35">
      <c r="A142" s="3" t="s">
        <v>83</v>
      </c>
      <c r="B142" s="8" t="s">
        <v>171</v>
      </c>
      <c r="C142" s="7">
        <v>0</v>
      </c>
    </row>
    <row r="143" spans="1:3" ht="18.75" customHeight="1" x14ac:dyDescent="0.35">
      <c r="A143" s="3" t="s">
        <v>83</v>
      </c>
      <c r="B143" s="8" t="s">
        <v>83</v>
      </c>
      <c r="C143" s="7">
        <v>0</v>
      </c>
    </row>
    <row r="144" spans="1:3" ht="18.75" customHeight="1" x14ac:dyDescent="0.35">
      <c r="A144" s="3" t="s">
        <v>172</v>
      </c>
      <c r="B144" s="8" t="s">
        <v>172</v>
      </c>
      <c r="C144" s="7">
        <v>0</v>
      </c>
    </row>
    <row r="145" spans="1:3" ht="18.75" customHeight="1" x14ac:dyDescent="0.35">
      <c r="A145" s="3" t="s">
        <v>14</v>
      </c>
      <c r="B145" s="8" t="s">
        <v>14</v>
      </c>
      <c r="C145" s="65">
        <v>20099.52</v>
      </c>
    </row>
    <row r="146" spans="1:3" ht="18.75" customHeight="1" x14ac:dyDescent="0.35">
      <c r="A146" s="3" t="s">
        <v>14</v>
      </c>
      <c r="B146" s="8" t="s">
        <v>173</v>
      </c>
      <c r="C146" s="7">
        <v>0</v>
      </c>
    </row>
    <row r="147" spans="1:3" ht="18.75" customHeight="1" x14ac:dyDescent="0.35">
      <c r="A147" s="3" t="s">
        <v>174</v>
      </c>
      <c r="B147" s="8" t="s">
        <v>174</v>
      </c>
      <c r="C147" s="7">
        <v>0</v>
      </c>
    </row>
    <row r="148" spans="1:3" ht="18.75" customHeight="1" x14ac:dyDescent="0.35">
      <c r="A148" s="3" t="s">
        <v>175</v>
      </c>
      <c r="B148" s="8" t="s">
        <v>175</v>
      </c>
      <c r="C148" s="7">
        <v>0</v>
      </c>
    </row>
    <row r="149" spans="1:3" ht="18.75" customHeight="1" x14ac:dyDescent="0.35">
      <c r="A149" s="3" t="s">
        <v>176</v>
      </c>
      <c r="B149" s="8" t="s">
        <v>177</v>
      </c>
      <c r="C149" s="7">
        <v>0</v>
      </c>
    </row>
    <row r="150" spans="1:3" ht="18.75" customHeight="1" x14ac:dyDescent="0.35">
      <c r="A150" s="3" t="s">
        <v>178</v>
      </c>
      <c r="B150" s="8" t="s">
        <v>178</v>
      </c>
      <c r="C150" s="7">
        <v>0</v>
      </c>
    </row>
    <row r="151" spans="1:3" ht="18.75" customHeight="1" x14ac:dyDescent="0.35">
      <c r="A151" s="3" t="s">
        <v>179</v>
      </c>
      <c r="B151" s="8" t="s">
        <v>179</v>
      </c>
      <c r="C151" s="7">
        <v>0</v>
      </c>
    </row>
    <row r="152" spans="1:3" ht="18.75" customHeight="1" x14ac:dyDescent="0.35">
      <c r="A152" s="3" t="s">
        <v>16</v>
      </c>
      <c r="B152" s="8" t="s">
        <v>16</v>
      </c>
      <c r="C152" s="65">
        <v>162.41999999999999</v>
      </c>
    </row>
    <row r="153" spans="1:3" ht="18.75" customHeight="1" x14ac:dyDescent="0.35">
      <c r="A153" s="3" t="s">
        <v>75</v>
      </c>
      <c r="B153" s="8" t="s">
        <v>180</v>
      </c>
      <c r="C153" s="7">
        <v>0</v>
      </c>
    </row>
    <row r="154" spans="1:3" ht="18.75" customHeight="1" x14ac:dyDescent="0.35">
      <c r="A154" s="3" t="s">
        <v>55</v>
      </c>
      <c r="B154" s="8" t="s">
        <v>181</v>
      </c>
      <c r="C154" s="7">
        <v>0</v>
      </c>
    </row>
    <row r="155" spans="1:3" ht="18.75" customHeight="1" x14ac:dyDescent="0.35">
      <c r="A155" s="3" t="s">
        <v>47</v>
      </c>
      <c r="B155" s="8" t="s">
        <v>182</v>
      </c>
      <c r="C155" s="7">
        <v>0</v>
      </c>
    </row>
    <row r="156" spans="1:3" ht="18.75" customHeight="1" x14ac:dyDescent="0.35">
      <c r="A156" s="3" t="s">
        <v>22</v>
      </c>
      <c r="B156" s="8" t="s">
        <v>183</v>
      </c>
      <c r="C156" s="7">
        <v>0</v>
      </c>
    </row>
    <row r="157" spans="1:3" ht="18.75" customHeight="1" x14ac:dyDescent="0.35">
      <c r="A157" s="3" t="s">
        <v>60</v>
      </c>
      <c r="B157" s="8" t="s">
        <v>60</v>
      </c>
      <c r="C157" s="7">
        <v>0</v>
      </c>
    </row>
    <row r="158" spans="1:3" ht="18.75" customHeight="1" x14ac:dyDescent="0.35">
      <c r="A158" s="3" t="s">
        <v>22</v>
      </c>
      <c r="B158" s="8" t="s">
        <v>184</v>
      </c>
      <c r="C158" s="7">
        <v>0</v>
      </c>
    </row>
    <row r="159" spans="1:3" ht="18.75" customHeight="1" x14ac:dyDescent="0.35">
      <c r="A159" s="3" t="s">
        <v>185</v>
      </c>
      <c r="B159" s="8" t="s">
        <v>185</v>
      </c>
      <c r="C159" s="7">
        <v>0</v>
      </c>
    </row>
    <row r="160" spans="1:3" ht="18.75" customHeight="1" x14ac:dyDescent="0.35">
      <c r="A160" s="3" t="s">
        <v>34</v>
      </c>
      <c r="B160" s="8" t="s">
        <v>186</v>
      </c>
      <c r="C160" s="7">
        <v>0</v>
      </c>
    </row>
    <row r="161" spans="1:3" ht="18.75" customHeight="1" x14ac:dyDescent="0.35">
      <c r="A161" s="3" t="s">
        <v>187</v>
      </c>
      <c r="B161" s="8" t="s">
        <v>187</v>
      </c>
      <c r="C161" s="7">
        <v>0</v>
      </c>
    </row>
    <row r="162" spans="1:3" ht="18.75" customHeight="1" x14ac:dyDescent="0.35">
      <c r="A162" s="3" t="s">
        <v>75</v>
      </c>
      <c r="B162" s="8" t="s">
        <v>75</v>
      </c>
      <c r="C162" s="65">
        <v>34563.06</v>
      </c>
    </row>
    <row r="163" spans="1:3" ht="18.75" customHeight="1" x14ac:dyDescent="0.35">
      <c r="A163" s="3" t="s">
        <v>75</v>
      </c>
      <c r="B163" s="8" t="s">
        <v>188</v>
      </c>
      <c r="C163" s="7">
        <v>0</v>
      </c>
    </row>
    <row r="164" spans="1:3" ht="18.75" customHeight="1" x14ac:dyDescent="0.35">
      <c r="A164" s="3" t="s">
        <v>34</v>
      </c>
      <c r="B164" s="8" t="s">
        <v>189</v>
      </c>
      <c r="C164" s="7">
        <v>0</v>
      </c>
    </row>
    <row r="165" spans="1:3" ht="18.75" customHeight="1" x14ac:dyDescent="0.35">
      <c r="A165" s="3" t="s">
        <v>190</v>
      </c>
      <c r="B165" s="8" t="s">
        <v>190</v>
      </c>
      <c r="C165" s="7">
        <v>0</v>
      </c>
    </row>
    <row r="166" spans="1:3" ht="18.75" customHeight="1" x14ac:dyDescent="0.35">
      <c r="A166" s="3" t="s">
        <v>60</v>
      </c>
      <c r="B166" s="8" t="s">
        <v>191</v>
      </c>
      <c r="C166" s="7">
        <v>0</v>
      </c>
    </row>
    <row r="167" spans="1:3" ht="18.75" customHeight="1" x14ac:dyDescent="0.35">
      <c r="A167" s="3" t="s">
        <v>192</v>
      </c>
      <c r="B167" s="8" t="s">
        <v>193</v>
      </c>
      <c r="C167" s="7">
        <v>0</v>
      </c>
    </row>
    <row r="168" spans="1:3" ht="18.75" customHeight="1" x14ac:dyDescent="0.35">
      <c r="A168" s="3" t="s">
        <v>192</v>
      </c>
      <c r="B168" s="8" t="s">
        <v>192</v>
      </c>
      <c r="C168" s="7">
        <v>0</v>
      </c>
    </row>
    <row r="169" spans="1:3" ht="18.75" customHeight="1" x14ac:dyDescent="0.35">
      <c r="A169" s="3" t="s">
        <v>194</v>
      </c>
      <c r="B169" s="8" t="s">
        <v>194</v>
      </c>
      <c r="C169" s="65">
        <v>2192.6799999999998</v>
      </c>
    </row>
    <row r="170" spans="1:3" ht="18.75" customHeight="1" x14ac:dyDescent="0.35">
      <c r="A170" s="3" t="s">
        <v>52</v>
      </c>
      <c r="B170" s="8" t="s">
        <v>52</v>
      </c>
      <c r="C170" s="7">
        <v>0</v>
      </c>
    </row>
    <row r="171" spans="1:3" ht="18.75" customHeight="1" x14ac:dyDescent="0.35">
      <c r="A171" s="3" t="s">
        <v>22</v>
      </c>
      <c r="B171" s="8" t="s">
        <v>195</v>
      </c>
      <c r="C171" s="7">
        <v>0</v>
      </c>
    </row>
    <row r="172" spans="1:3" ht="18.75" customHeight="1" x14ac:dyDescent="0.35">
      <c r="A172" s="3" t="s">
        <v>196</v>
      </c>
      <c r="B172" s="8" t="s">
        <v>196</v>
      </c>
      <c r="C172" s="7">
        <v>0</v>
      </c>
    </row>
    <row r="173" spans="1:3" ht="18.75" customHeight="1" x14ac:dyDescent="0.35">
      <c r="A173" s="3" t="s">
        <v>90</v>
      </c>
      <c r="B173" s="8" t="s">
        <v>197</v>
      </c>
      <c r="C173" s="7">
        <v>0</v>
      </c>
    </row>
    <row r="174" spans="1:3" ht="18.75" customHeight="1" x14ac:dyDescent="0.35">
      <c r="A174" s="3" t="s">
        <v>198</v>
      </c>
      <c r="B174" s="8" t="s">
        <v>199</v>
      </c>
      <c r="C174" s="7">
        <v>0</v>
      </c>
    </row>
    <row r="175" spans="1:3" ht="18.75" customHeight="1" x14ac:dyDescent="0.35">
      <c r="A175" s="3" t="s">
        <v>200</v>
      </c>
      <c r="B175" s="8" t="s">
        <v>200</v>
      </c>
      <c r="C175" s="7">
        <v>0</v>
      </c>
    </row>
    <row r="176" spans="1:3" ht="18.75" customHeight="1" x14ac:dyDescent="0.35">
      <c r="A176" s="3" t="s">
        <v>34</v>
      </c>
      <c r="B176" s="8" t="s">
        <v>201</v>
      </c>
      <c r="C176" s="7">
        <v>0</v>
      </c>
    </row>
    <row r="177" spans="1:3" ht="18.75" customHeight="1" x14ac:dyDescent="0.35">
      <c r="A177" s="3" t="s">
        <v>202</v>
      </c>
      <c r="B177" s="8" t="s">
        <v>202</v>
      </c>
      <c r="C177" s="7">
        <v>0</v>
      </c>
    </row>
    <row r="178" spans="1:3" ht="18.75" customHeight="1" x14ac:dyDescent="0.35">
      <c r="A178" s="3" t="s">
        <v>36</v>
      </c>
      <c r="B178" s="8" t="s">
        <v>203</v>
      </c>
      <c r="C178" s="7">
        <v>0</v>
      </c>
    </row>
    <row r="179" spans="1:3" ht="18.75" customHeight="1" x14ac:dyDescent="0.35">
      <c r="A179" s="3" t="s">
        <v>45</v>
      </c>
      <c r="B179" s="8" t="s">
        <v>204</v>
      </c>
      <c r="C179" s="7">
        <v>0</v>
      </c>
    </row>
    <row r="180" spans="1:3" ht="18.75" customHeight="1" x14ac:dyDescent="0.35">
      <c r="A180" s="3" t="s">
        <v>45</v>
      </c>
      <c r="B180" s="8" t="s">
        <v>205</v>
      </c>
      <c r="C180" s="7">
        <v>0</v>
      </c>
    </row>
    <row r="181" spans="1:3" ht="18.75" customHeight="1" x14ac:dyDescent="0.35">
      <c r="A181" s="3" t="s">
        <v>45</v>
      </c>
      <c r="B181" s="8" t="s">
        <v>45</v>
      </c>
      <c r="C181" s="7">
        <v>0</v>
      </c>
    </row>
    <row r="182" spans="1:3" ht="18.75" customHeight="1" x14ac:dyDescent="0.35">
      <c r="A182" s="3" t="s">
        <v>206</v>
      </c>
      <c r="B182" s="8" t="s">
        <v>206</v>
      </c>
      <c r="C182" s="67">
        <v>966.4</v>
      </c>
    </row>
    <row r="183" spans="1:3" ht="18.75" customHeight="1" x14ac:dyDescent="0.35">
      <c r="A183" s="3" t="s">
        <v>207</v>
      </c>
      <c r="B183" s="8" t="s">
        <v>207</v>
      </c>
      <c r="C183" s="7">
        <v>0</v>
      </c>
    </row>
    <row r="184" spans="1:3" ht="18.75" customHeight="1" x14ac:dyDescent="0.35">
      <c r="A184" s="3" t="s">
        <v>75</v>
      </c>
      <c r="B184" s="8" t="s">
        <v>208</v>
      </c>
      <c r="C184" s="7">
        <v>0</v>
      </c>
    </row>
    <row r="185" spans="1:3" ht="18.75" customHeight="1" x14ac:dyDescent="0.35">
      <c r="A185" s="3" t="s">
        <v>63</v>
      </c>
      <c r="B185" s="8" t="s">
        <v>209</v>
      </c>
      <c r="C185" s="7">
        <v>0</v>
      </c>
    </row>
    <row r="186" spans="1:3" ht="18.75" customHeight="1" x14ac:dyDescent="0.35">
      <c r="A186" s="3" t="s">
        <v>168</v>
      </c>
      <c r="B186" s="8" t="s">
        <v>210</v>
      </c>
      <c r="C186" s="7">
        <v>0</v>
      </c>
    </row>
    <row r="187" spans="1:3" ht="18.75" customHeight="1" x14ac:dyDescent="0.35">
      <c r="A187" s="3" t="s">
        <v>63</v>
      </c>
      <c r="B187" s="8" t="s">
        <v>211</v>
      </c>
      <c r="C187" s="7">
        <v>0</v>
      </c>
    </row>
    <row r="188" spans="1:3" ht="18.75" customHeight="1" x14ac:dyDescent="0.35">
      <c r="A188" s="3" t="s">
        <v>105</v>
      </c>
      <c r="B188" s="8" t="s">
        <v>212</v>
      </c>
      <c r="C188" s="7">
        <v>0</v>
      </c>
    </row>
    <row r="189" spans="1:3" ht="18.75" customHeight="1" x14ac:dyDescent="0.35">
      <c r="A189" s="3" t="s">
        <v>105</v>
      </c>
      <c r="B189" s="8" t="s">
        <v>213</v>
      </c>
      <c r="C189" s="7">
        <v>0</v>
      </c>
    </row>
    <row r="190" spans="1:3" ht="18.75" customHeight="1" x14ac:dyDescent="0.35">
      <c r="A190" s="3" t="s">
        <v>105</v>
      </c>
      <c r="B190" s="8" t="s">
        <v>105</v>
      </c>
      <c r="C190" s="7">
        <v>0</v>
      </c>
    </row>
    <row r="191" spans="1:3" ht="18.75" customHeight="1" x14ac:dyDescent="0.35">
      <c r="A191" s="3" t="s">
        <v>105</v>
      </c>
      <c r="B191" s="8" t="s">
        <v>214</v>
      </c>
      <c r="C191" s="7">
        <v>0</v>
      </c>
    </row>
    <row r="192" spans="1:3" ht="18.75" customHeight="1" x14ac:dyDescent="0.35">
      <c r="A192" s="3" t="s">
        <v>75</v>
      </c>
      <c r="B192" s="8" t="s">
        <v>215</v>
      </c>
      <c r="C192" s="7">
        <v>0</v>
      </c>
    </row>
    <row r="193" spans="1:3" ht="18.75" customHeight="1" x14ac:dyDescent="0.35">
      <c r="A193" s="3" t="s">
        <v>216</v>
      </c>
      <c r="B193" s="8" t="s">
        <v>216</v>
      </c>
      <c r="C193" s="65">
        <v>3004.78</v>
      </c>
    </row>
    <row r="194" spans="1:3" ht="18.75" customHeight="1" x14ac:dyDescent="0.35">
      <c r="A194" s="3" t="s">
        <v>217</v>
      </c>
      <c r="B194" s="8" t="s">
        <v>218</v>
      </c>
      <c r="C194" s="7">
        <v>0</v>
      </c>
    </row>
    <row r="195" spans="1:3" ht="18.75" customHeight="1" x14ac:dyDescent="0.35">
      <c r="A195" s="3" t="s">
        <v>47</v>
      </c>
      <c r="B195" s="8" t="s">
        <v>219</v>
      </c>
      <c r="C195" s="7">
        <v>0</v>
      </c>
    </row>
    <row r="196" spans="1:3" ht="18.75" customHeight="1" x14ac:dyDescent="0.35">
      <c r="A196" s="3" t="s">
        <v>22</v>
      </c>
      <c r="B196" s="8" t="s">
        <v>220</v>
      </c>
      <c r="C196" s="7">
        <v>0</v>
      </c>
    </row>
    <row r="197" spans="1:3" ht="18.75" customHeight="1" x14ac:dyDescent="0.35">
      <c r="A197" s="3" t="s">
        <v>105</v>
      </c>
      <c r="B197" s="8" t="s">
        <v>221</v>
      </c>
      <c r="C197" s="7">
        <v>0</v>
      </c>
    </row>
    <row r="198" spans="1:3" ht="18.75" customHeight="1" x14ac:dyDescent="0.35">
      <c r="A198" s="3" t="s">
        <v>34</v>
      </c>
      <c r="B198" s="8" t="s">
        <v>222</v>
      </c>
      <c r="C198" s="7">
        <v>0</v>
      </c>
    </row>
    <row r="199" spans="1:3" ht="18.75" customHeight="1" x14ac:dyDescent="0.35">
      <c r="A199" s="3" t="s">
        <v>34</v>
      </c>
      <c r="B199" s="8" t="s">
        <v>223</v>
      </c>
      <c r="C199" s="7">
        <v>0</v>
      </c>
    </row>
    <row r="200" spans="1:3" ht="18.75" customHeight="1" x14ac:dyDescent="0.35">
      <c r="A200" s="3" t="s">
        <v>34</v>
      </c>
      <c r="B200" s="8" t="s">
        <v>224</v>
      </c>
      <c r="C200" s="7">
        <v>0</v>
      </c>
    </row>
    <row r="201" spans="1:3" ht="18.75" customHeight="1" x14ac:dyDescent="0.35">
      <c r="A201" s="3" t="s">
        <v>34</v>
      </c>
      <c r="B201" s="8" t="s">
        <v>34</v>
      </c>
      <c r="C201" s="7">
        <v>0</v>
      </c>
    </row>
    <row r="202" spans="1:3" ht="18.75" customHeight="1" x14ac:dyDescent="0.35">
      <c r="A202" s="3" t="s">
        <v>225</v>
      </c>
      <c r="B202" s="8" t="s">
        <v>225</v>
      </c>
      <c r="C202" s="65">
        <v>3873.73</v>
      </c>
    </row>
    <row r="203" spans="1:3" ht="18.75" customHeight="1" x14ac:dyDescent="0.35">
      <c r="A203" s="3" t="s">
        <v>60</v>
      </c>
      <c r="B203" s="8" t="s">
        <v>226</v>
      </c>
      <c r="C203" s="7">
        <v>0</v>
      </c>
    </row>
    <row r="204" spans="1:3" ht="18.75" customHeight="1" x14ac:dyDescent="0.35">
      <c r="A204" s="3" t="s">
        <v>227</v>
      </c>
      <c r="B204" s="8" t="s">
        <v>227</v>
      </c>
      <c r="C204" s="65">
        <v>755.25</v>
      </c>
    </row>
    <row r="205" spans="1:3" ht="18.75" customHeight="1" x14ac:dyDescent="0.35">
      <c r="A205" s="3" t="s">
        <v>228</v>
      </c>
      <c r="B205" s="8" t="s">
        <v>228</v>
      </c>
      <c r="C205" s="7">
        <v>0</v>
      </c>
    </row>
    <row r="206" spans="1:3" ht="18.75" customHeight="1" x14ac:dyDescent="0.35">
      <c r="A206" s="3" t="s">
        <v>34</v>
      </c>
      <c r="B206" s="8" t="s">
        <v>229</v>
      </c>
      <c r="C206" s="7">
        <v>0</v>
      </c>
    </row>
    <row r="207" spans="1:3" ht="18.75" customHeight="1" x14ac:dyDescent="0.35">
      <c r="A207" s="3" t="s">
        <v>230</v>
      </c>
      <c r="B207" s="8" t="s">
        <v>230</v>
      </c>
      <c r="C207" s="65">
        <v>16.239999999999998</v>
      </c>
    </row>
    <row r="208" spans="1:3" ht="18.75" customHeight="1" x14ac:dyDescent="0.35">
      <c r="A208" s="3" t="s">
        <v>231</v>
      </c>
      <c r="B208" s="8" t="s">
        <v>231</v>
      </c>
      <c r="C208" s="7">
        <v>0</v>
      </c>
    </row>
    <row r="209" spans="1:3" ht="18.75" customHeight="1" x14ac:dyDescent="0.35">
      <c r="A209" s="3" t="s">
        <v>83</v>
      </c>
      <c r="B209" s="8" t="s">
        <v>232</v>
      </c>
      <c r="C209" s="7">
        <v>0</v>
      </c>
    </row>
    <row r="210" spans="1:3" ht="18.75" customHeight="1" x14ac:dyDescent="0.35">
      <c r="A210" s="3" t="s">
        <v>233</v>
      </c>
      <c r="B210" s="8" t="s">
        <v>233</v>
      </c>
      <c r="C210" s="65">
        <v>4474.68</v>
      </c>
    </row>
    <row r="211" spans="1:3" ht="18.75" customHeight="1" x14ac:dyDescent="0.35">
      <c r="A211" s="3" t="s">
        <v>24</v>
      </c>
      <c r="B211" s="8" t="s">
        <v>24</v>
      </c>
      <c r="C211" s="7">
        <v>0</v>
      </c>
    </row>
    <row r="212" spans="1:3" ht="18.75" customHeight="1" x14ac:dyDescent="0.35">
      <c r="A212" s="3" t="s">
        <v>234</v>
      </c>
      <c r="B212" s="8" t="s">
        <v>235</v>
      </c>
      <c r="C212" s="7">
        <v>0</v>
      </c>
    </row>
    <row r="213" spans="1:3" ht="18.75" customHeight="1" x14ac:dyDescent="0.35">
      <c r="A213" s="3" t="s">
        <v>34</v>
      </c>
      <c r="B213" s="8" t="s">
        <v>236</v>
      </c>
      <c r="C213" s="7">
        <v>0</v>
      </c>
    </row>
    <row r="214" spans="1:3" ht="18.75" customHeight="1" x14ac:dyDescent="0.35">
      <c r="A214" s="3" t="s">
        <v>24</v>
      </c>
      <c r="B214" s="8" t="s">
        <v>237</v>
      </c>
      <c r="C214" s="7">
        <v>0</v>
      </c>
    </row>
    <row r="215" spans="1:3" ht="18.75" customHeight="1" x14ac:dyDescent="0.35">
      <c r="A215" s="3" t="s">
        <v>28</v>
      </c>
      <c r="B215" s="8" t="s">
        <v>238</v>
      </c>
      <c r="C215" s="7">
        <v>0</v>
      </c>
    </row>
    <row r="216" spans="1:3" ht="18.75" customHeight="1" x14ac:dyDescent="0.35">
      <c r="A216" s="3" t="s">
        <v>14</v>
      </c>
      <c r="B216" s="8" t="s">
        <v>239</v>
      </c>
      <c r="C216" s="7">
        <v>0</v>
      </c>
    </row>
    <row r="217" spans="1:3" ht="18.75" customHeight="1" x14ac:dyDescent="0.35">
      <c r="A217" s="3" t="s">
        <v>22</v>
      </c>
      <c r="B217" s="8" t="s">
        <v>240</v>
      </c>
      <c r="C217" s="7">
        <v>0</v>
      </c>
    </row>
    <row r="218" spans="1:3" ht="18.75" customHeight="1" x14ac:dyDescent="0.35">
      <c r="A218" s="3" t="s">
        <v>34</v>
      </c>
      <c r="B218" s="8" t="s">
        <v>241</v>
      </c>
      <c r="C218" s="7">
        <v>0</v>
      </c>
    </row>
    <row r="219" spans="1:3" ht="18.75" customHeight="1" x14ac:dyDescent="0.35">
      <c r="A219" s="3" t="s">
        <v>121</v>
      </c>
      <c r="B219" s="8" t="s">
        <v>242</v>
      </c>
      <c r="C219" s="7">
        <v>0</v>
      </c>
    </row>
    <row r="220" spans="1:3" ht="18.75" customHeight="1" x14ac:dyDescent="0.35">
      <c r="A220" s="3" t="s">
        <v>121</v>
      </c>
      <c r="B220" s="8" t="s">
        <v>243</v>
      </c>
      <c r="C220" s="7">
        <v>0</v>
      </c>
    </row>
    <row r="221" spans="1:3" ht="18.75" customHeight="1" x14ac:dyDescent="0.35">
      <c r="A221" s="3" t="s">
        <v>83</v>
      </c>
      <c r="B221" s="8" t="s">
        <v>244</v>
      </c>
      <c r="C221" s="7">
        <v>0</v>
      </c>
    </row>
    <row r="222" spans="1:3" ht="18.75" customHeight="1" x14ac:dyDescent="0.35">
      <c r="A222" s="3" t="s">
        <v>245</v>
      </c>
      <c r="B222" s="8" t="s">
        <v>245</v>
      </c>
      <c r="C222" s="7">
        <v>0</v>
      </c>
    </row>
    <row r="223" spans="1:3" ht="18.75" customHeight="1" x14ac:dyDescent="0.35">
      <c r="A223" s="3" t="s">
        <v>22</v>
      </c>
      <c r="B223" s="8" t="s">
        <v>246</v>
      </c>
      <c r="C223" s="7">
        <v>0</v>
      </c>
    </row>
    <row r="224" spans="1:3" ht="18.75" customHeight="1" x14ac:dyDescent="0.35">
      <c r="A224" s="3" t="s">
        <v>22</v>
      </c>
      <c r="B224" s="8" t="s">
        <v>247</v>
      </c>
      <c r="C224" s="7">
        <v>0</v>
      </c>
    </row>
    <row r="225" spans="1:3" ht="18.75" customHeight="1" x14ac:dyDescent="0.35">
      <c r="A225" s="3" t="s">
        <v>34</v>
      </c>
      <c r="B225" s="8" t="s">
        <v>248</v>
      </c>
      <c r="C225" s="7">
        <v>0</v>
      </c>
    </row>
    <row r="226" spans="1:3" ht="18.75" customHeight="1" x14ac:dyDescent="0.35">
      <c r="A226" s="3" t="s">
        <v>34</v>
      </c>
      <c r="B226" s="8" t="s">
        <v>249</v>
      </c>
      <c r="C226" s="7">
        <v>0</v>
      </c>
    </row>
    <row r="227" spans="1:3" ht="18.75" customHeight="1" x14ac:dyDescent="0.35">
      <c r="A227" s="3" t="s">
        <v>22</v>
      </c>
      <c r="B227" s="8" t="s">
        <v>250</v>
      </c>
      <c r="C227" s="7">
        <v>0</v>
      </c>
    </row>
    <row r="228" spans="1:3" ht="18.75" customHeight="1" x14ac:dyDescent="0.35">
      <c r="A228" s="3" t="s">
        <v>251</v>
      </c>
      <c r="B228" s="8" t="s">
        <v>251</v>
      </c>
      <c r="C228" s="7">
        <v>0</v>
      </c>
    </row>
    <row r="229" spans="1:3" ht="18.75" customHeight="1" x14ac:dyDescent="0.35">
      <c r="A229" s="3" t="s">
        <v>75</v>
      </c>
      <c r="B229" s="8" t="s">
        <v>252</v>
      </c>
      <c r="C229" s="7">
        <v>0</v>
      </c>
    </row>
    <row r="230" spans="1:3" ht="18.75" customHeight="1" x14ac:dyDescent="0.35">
      <c r="A230" s="3" t="s">
        <v>34</v>
      </c>
      <c r="B230" s="8" t="s">
        <v>253</v>
      </c>
      <c r="C230" s="7">
        <v>0</v>
      </c>
    </row>
    <row r="231" spans="1:3" ht="18.75" customHeight="1" x14ac:dyDescent="0.35">
      <c r="A231" s="3" t="s">
        <v>254</v>
      </c>
      <c r="B231" s="8" t="s">
        <v>255</v>
      </c>
      <c r="C231" s="7">
        <v>0</v>
      </c>
    </row>
    <row r="232" spans="1:3" ht="18.75" customHeight="1" x14ac:dyDescent="0.35">
      <c r="A232" s="3" t="s">
        <v>254</v>
      </c>
      <c r="B232" s="8" t="s">
        <v>256</v>
      </c>
      <c r="C232" s="7">
        <v>0</v>
      </c>
    </row>
    <row r="233" spans="1:3" ht="18.75" customHeight="1" x14ac:dyDescent="0.35">
      <c r="A233" s="3" t="s">
        <v>254</v>
      </c>
      <c r="B233" s="8" t="s">
        <v>254</v>
      </c>
      <c r="C233" s="65">
        <v>31939.97</v>
      </c>
    </row>
    <row r="234" spans="1:3" ht="18.75" customHeight="1" x14ac:dyDescent="0.35">
      <c r="A234" s="3" t="s">
        <v>257</v>
      </c>
      <c r="B234" s="8" t="s">
        <v>257</v>
      </c>
      <c r="C234" s="66">
        <v>641.97</v>
      </c>
    </row>
    <row r="235" spans="1:3" ht="18.75" customHeight="1" x14ac:dyDescent="0.35">
      <c r="A235" s="3" t="s">
        <v>77</v>
      </c>
      <c r="B235" s="8" t="s">
        <v>258</v>
      </c>
      <c r="C235" s="65">
        <v>162.41999999999999</v>
      </c>
    </row>
    <row r="236" spans="1:3" ht="18.75" customHeight="1" x14ac:dyDescent="0.35">
      <c r="A236" s="3" t="s">
        <v>259</v>
      </c>
      <c r="B236" s="8" t="s">
        <v>259</v>
      </c>
      <c r="C236" s="7">
        <v>0</v>
      </c>
    </row>
    <row r="237" spans="1:3" ht="18.75" customHeight="1" x14ac:dyDescent="0.35">
      <c r="A237" s="3" t="s">
        <v>28</v>
      </c>
      <c r="B237" s="8" t="s">
        <v>260</v>
      </c>
      <c r="C237" s="7">
        <v>0</v>
      </c>
    </row>
    <row r="238" spans="1:3" ht="18.75" customHeight="1" x14ac:dyDescent="0.35">
      <c r="A238" s="3" t="s">
        <v>75</v>
      </c>
      <c r="B238" s="8" t="s">
        <v>261</v>
      </c>
      <c r="C238" s="7">
        <v>0</v>
      </c>
    </row>
    <row r="239" spans="1:3" ht="18.75" customHeight="1" x14ac:dyDescent="0.35">
      <c r="A239" s="3" t="s">
        <v>234</v>
      </c>
      <c r="B239" s="8" t="s">
        <v>234</v>
      </c>
      <c r="C239" s="7">
        <v>0</v>
      </c>
    </row>
    <row r="240" spans="1:3" ht="18.75" customHeight="1" x14ac:dyDescent="0.35">
      <c r="A240" s="3" t="s">
        <v>34</v>
      </c>
      <c r="B240" s="8" t="s">
        <v>262</v>
      </c>
      <c r="C240" s="7">
        <v>0</v>
      </c>
    </row>
    <row r="241" spans="1:3" ht="18.75" customHeight="1" x14ac:dyDescent="0.35">
      <c r="A241" s="3" t="s">
        <v>34</v>
      </c>
      <c r="B241" s="8" t="s">
        <v>263</v>
      </c>
      <c r="C241" s="7">
        <v>0</v>
      </c>
    </row>
    <row r="242" spans="1:3" ht="18.75" customHeight="1" x14ac:dyDescent="0.35">
      <c r="A242" s="3" t="s">
        <v>34</v>
      </c>
      <c r="B242" s="8" t="s">
        <v>264</v>
      </c>
      <c r="C242" s="7">
        <v>0</v>
      </c>
    </row>
    <row r="243" spans="1:3" ht="18.75" customHeight="1" x14ac:dyDescent="0.35">
      <c r="A243" s="3" t="s">
        <v>22</v>
      </c>
      <c r="B243" s="8" t="s">
        <v>265</v>
      </c>
      <c r="C243" s="7">
        <v>0</v>
      </c>
    </row>
    <row r="244" spans="1:3" ht="18.75" customHeight="1" x14ac:dyDescent="0.35">
      <c r="A244" s="3" t="s">
        <v>24</v>
      </c>
      <c r="B244" s="8" t="s">
        <v>266</v>
      </c>
      <c r="C244" s="7">
        <v>0</v>
      </c>
    </row>
    <row r="245" spans="1:3" ht="18.75" customHeight="1" x14ac:dyDescent="0.35">
      <c r="A245" s="3" t="s">
        <v>34</v>
      </c>
      <c r="B245" s="8" t="s">
        <v>267</v>
      </c>
      <c r="C245" s="7">
        <v>0</v>
      </c>
    </row>
    <row r="246" spans="1:3" ht="18.75" customHeight="1" x14ac:dyDescent="0.35">
      <c r="A246" s="3" t="s">
        <v>121</v>
      </c>
      <c r="B246" s="8" t="s">
        <v>121</v>
      </c>
      <c r="C246" s="65">
        <v>9704.6200000000008</v>
      </c>
    </row>
    <row r="247" spans="1:3" ht="18.75" customHeight="1" x14ac:dyDescent="0.35">
      <c r="A247" s="3" t="s">
        <v>268</v>
      </c>
      <c r="B247" s="8" t="s">
        <v>268</v>
      </c>
      <c r="C247" s="7">
        <v>0</v>
      </c>
    </row>
    <row r="248" spans="1:3" ht="18.75" customHeight="1" x14ac:dyDescent="0.35">
      <c r="A248" s="3" t="s">
        <v>75</v>
      </c>
      <c r="B248" s="8" t="s">
        <v>269</v>
      </c>
      <c r="C248" s="7">
        <v>0</v>
      </c>
    </row>
    <row r="249" spans="1:3" ht="18.75" customHeight="1" x14ac:dyDescent="0.35">
      <c r="A249" s="8" t="s">
        <v>270</v>
      </c>
      <c r="B249" s="8" t="s">
        <v>270</v>
      </c>
      <c r="C249" s="7">
        <v>0</v>
      </c>
    </row>
    <row r="250" spans="1:3" ht="18.75" customHeight="1" x14ac:dyDescent="0.35">
      <c r="A250" s="3" t="s">
        <v>75</v>
      </c>
      <c r="B250" s="8" t="s">
        <v>271</v>
      </c>
      <c r="C250" s="7">
        <v>0</v>
      </c>
    </row>
    <row r="251" spans="1:3" ht="18.75" customHeight="1" x14ac:dyDescent="0.35">
      <c r="A251" s="3" t="s">
        <v>268</v>
      </c>
      <c r="B251" s="8" t="s">
        <v>272</v>
      </c>
      <c r="C251" s="7">
        <v>0</v>
      </c>
    </row>
    <row r="252" spans="1:3" ht="18.75" customHeight="1" x14ac:dyDescent="0.35">
      <c r="A252" s="3" t="s">
        <v>55</v>
      </c>
      <c r="B252" s="8" t="s">
        <v>273</v>
      </c>
      <c r="C252" s="7">
        <v>0</v>
      </c>
    </row>
    <row r="253" spans="1:3" ht="18.75" customHeight="1" x14ac:dyDescent="0.35">
      <c r="A253" s="3" t="s">
        <v>28</v>
      </c>
      <c r="B253" s="8" t="s">
        <v>274</v>
      </c>
      <c r="C253" s="7">
        <v>0</v>
      </c>
    </row>
    <row r="254" spans="1:3" ht="18.75" customHeight="1" x14ac:dyDescent="0.35">
      <c r="A254" s="3" t="s">
        <v>22</v>
      </c>
      <c r="B254" s="8" t="s">
        <v>275</v>
      </c>
      <c r="C254" s="7">
        <v>0</v>
      </c>
    </row>
    <row r="255" spans="1:3" ht="18.75" customHeight="1" x14ac:dyDescent="0.35">
      <c r="A255" s="3" t="s">
        <v>83</v>
      </c>
      <c r="B255" s="8" t="s">
        <v>276</v>
      </c>
      <c r="C255" s="7">
        <v>0</v>
      </c>
    </row>
    <row r="256" spans="1:3" ht="18.75" customHeight="1" x14ac:dyDescent="0.35">
      <c r="A256" s="3" t="s">
        <v>254</v>
      </c>
      <c r="B256" s="8" t="s">
        <v>277</v>
      </c>
      <c r="C256" s="7">
        <v>0</v>
      </c>
    </row>
    <row r="257" spans="1:3" ht="18.75" customHeight="1" x14ac:dyDescent="0.35">
      <c r="A257" s="3" t="s">
        <v>278</v>
      </c>
      <c r="B257" s="8" t="s">
        <v>279</v>
      </c>
      <c r="C257" s="65">
        <v>48.32</v>
      </c>
    </row>
    <row r="258" spans="1:3" ht="18.75" customHeight="1" x14ac:dyDescent="0.35">
      <c r="A258" s="3" t="s">
        <v>22</v>
      </c>
      <c r="B258" s="8" t="s">
        <v>280</v>
      </c>
      <c r="C258" s="7">
        <v>0</v>
      </c>
    </row>
    <row r="259" spans="1:3" ht="18.75" customHeight="1" x14ac:dyDescent="0.35">
      <c r="A259" s="3" t="s">
        <v>34</v>
      </c>
      <c r="B259" s="8" t="s">
        <v>281</v>
      </c>
      <c r="C259" s="7">
        <v>0</v>
      </c>
    </row>
    <row r="260" spans="1:3" ht="18.75" customHeight="1" x14ac:dyDescent="0.35">
      <c r="A260" s="3" t="s">
        <v>282</v>
      </c>
      <c r="B260" s="8" t="s">
        <v>282</v>
      </c>
      <c r="C260" s="65">
        <v>2192.6799999999998</v>
      </c>
    </row>
    <row r="261" spans="1:3" ht="18.75" customHeight="1" x14ac:dyDescent="0.35">
      <c r="A261" s="3" t="s">
        <v>60</v>
      </c>
      <c r="B261" s="8" t="s">
        <v>283</v>
      </c>
      <c r="C261" s="7">
        <v>0</v>
      </c>
    </row>
    <row r="262" spans="1:3" ht="18.75" customHeight="1" x14ac:dyDescent="0.35">
      <c r="A262" s="3" t="s">
        <v>168</v>
      </c>
      <c r="B262" s="8" t="s">
        <v>284</v>
      </c>
      <c r="C262" s="7">
        <v>0</v>
      </c>
    </row>
    <row r="263" spans="1:3" ht="18.75" customHeight="1" x14ac:dyDescent="0.35">
      <c r="A263" s="3" t="s">
        <v>22</v>
      </c>
      <c r="B263" s="8" t="s">
        <v>285</v>
      </c>
      <c r="C263" s="7">
        <v>0</v>
      </c>
    </row>
    <row r="264" spans="1:3" ht="18.75" customHeight="1" x14ac:dyDescent="0.35">
      <c r="A264" s="3" t="s">
        <v>31</v>
      </c>
      <c r="B264" s="8" t="s">
        <v>31</v>
      </c>
      <c r="C264" s="7">
        <v>0</v>
      </c>
    </row>
    <row r="265" spans="1:3" ht="18.75" customHeight="1" x14ac:dyDescent="0.35">
      <c r="A265" s="3" t="s">
        <v>63</v>
      </c>
      <c r="B265" s="8" t="s">
        <v>286</v>
      </c>
      <c r="C265" s="7">
        <v>0</v>
      </c>
    </row>
    <row r="266" spans="1:3" ht="18.75" customHeight="1" x14ac:dyDescent="0.35">
      <c r="A266" s="3" t="s">
        <v>14</v>
      </c>
      <c r="B266" s="8" t="s">
        <v>287</v>
      </c>
      <c r="C266" s="7">
        <v>0</v>
      </c>
    </row>
    <row r="267" spans="1:3" ht="18.75" customHeight="1" x14ac:dyDescent="0.35">
      <c r="A267" s="3" t="s">
        <v>75</v>
      </c>
      <c r="B267" s="8" t="s">
        <v>288</v>
      </c>
      <c r="C267" s="7">
        <v>0</v>
      </c>
    </row>
    <row r="268" spans="1:3" ht="18.75" customHeight="1" x14ac:dyDescent="0.35">
      <c r="A268" s="3" t="s">
        <v>75</v>
      </c>
      <c r="B268" s="8" t="s">
        <v>289</v>
      </c>
      <c r="C268" s="7">
        <v>0</v>
      </c>
    </row>
    <row r="269" spans="1:3" ht="18.75" customHeight="1" x14ac:dyDescent="0.35">
      <c r="A269" s="3" t="s">
        <v>28</v>
      </c>
      <c r="B269" s="8" t="s">
        <v>28</v>
      </c>
      <c r="C269" s="76">
        <v>13253.5</v>
      </c>
    </row>
    <row r="270" spans="1:3" ht="18.75" customHeight="1" x14ac:dyDescent="0.35">
      <c r="A270" s="3" t="s">
        <v>34</v>
      </c>
      <c r="B270" s="8" t="s">
        <v>290</v>
      </c>
      <c r="C270" s="7">
        <v>0</v>
      </c>
    </row>
    <row r="271" spans="1:3" ht="18.75" customHeight="1" x14ac:dyDescent="0.35">
      <c r="A271" s="3" t="s">
        <v>22</v>
      </c>
      <c r="B271" s="8" t="s">
        <v>291</v>
      </c>
      <c r="C271" s="7">
        <v>0</v>
      </c>
    </row>
    <row r="272" spans="1:3" ht="18.75" customHeight="1" x14ac:dyDescent="0.35">
      <c r="A272" s="3" t="s">
        <v>22</v>
      </c>
      <c r="B272" s="8" t="s">
        <v>22</v>
      </c>
      <c r="C272" s="7">
        <v>0</v>
      </c>
    </row>
    <row r="273" spans="1:3" ht="18.75" customHeight="1" x14ac:dyDescent="0.35">
      <c r="A273" s="3" t="s">
        <v>34</v>
      </c>
      <c r="B273" s="8" t="s">
        <v>292</v>
      </c>
      <c r="C273" s="7">
        <v>0</v>
      </c>
    </row>
    <row r="274" spans="1:3" ht="18.75" customHeight="1" x14ac:dyDescent="0.35">
      <c r="A274" s="3" t="s">
        <v>22</v>
      </c>
      <c r="B274" s="8" t="s">
        <v>293</v>
      </c>
      <c r="C274" s="65">
        <v>1177.55</v>
      </c>
    </row>
    <row r="275" spans="1:3" ht="18.75" customHeight="1" x14ac:dyDescent="0.35">
      <c r="A275" s="3" t="s">
        <v>66</v>
      </c>
      <c r="B275" s="8" t="s">
        <v>66</v>
      </c>
      <c r="C275" s="77">
        <v>162.41999999999999</v>
      </c>
    </row>
    <row r="276" spans="1:3" ht="18.75" customHeight="1" x14ac:dyDescent="0.35">
      <c r="A276" s="3" t="s">
        <v>34</v>
      </c>
      <c r="B276" s="8" t="s">
        <v>294</v>
      </c>
      <c r="C276" s="7">
        <v>0</v>
      </c>
    </row>
    <row r="277" spans="1:3" ht="18.75" customHeight="1" x14ac:dyDescent="0.35">
      <c r="A277" s="3" t="s">
        <v>34</v>
      </c>
      <c r="B277" s="8" t="s">
        <v>295</v>
      </c>
      <c r="C277" s="7">
        <v>0</v>
      </c>
    </row>
    <row r="278" spans="1:3" ht="18.75" customHeight="1" x14ac:dyDescent="0.35">
      <c r="A278" s="3" t="s">
        <v>22</v>
      </c>
      <c r="B278" s="8" t="s">
        <v>296</v>
      </c>
      <c r="C278" s="7">
        <v>0</v>
      </c>
    </row>
    <row r="279" spans="1:3" ht="18.75" customHeight="1" x14ac:dyDescent="0.35">
      <c r="A279" s="3" t="s">
        <v>22</v>
      </c>
      <c r="B279" s="8" t="s">
        <v>297</v>
      </c>
      <c r="C279" s="7">
        <v>0</v>
      </c>
    </row>
    <row r="280" spans="1:3" ht="18.75" customHeight="1" x14ac:dyDescent="0.35">
      <c r="A280" s="3" t="s">
        <v>14</v>
      </c>
      <c r="B280" s="8" t="s">
        <v>298</v>
      </c>
      <c r="C280" s="7">
        <v>0</v>
      </c>
    </row>
    <row r="281" spans="1:3" ht="18.75" customHeight="1" x14ac:dyDescent="0.35">
      <c r="A281" s="3" t="s">
        <v>28</v>
      </c>
      <c r="B281" s="8" t="s">
        <v>299</v>
      </c>
      <c r="C281" s="7">
        <v>0</v>
      </c>
    </row>
    <row r="282" spans="1:3" ht="18.75" customHeight="1" x14ac:dyDescent="0.35">
      <c r="A282" s="3" t="s">
        <v>28</v>
      </c>
      <c r="B282" s="8" t="s">
        <v>300</v>
      </c>
      <c r="C282" s="7">
        <v>0</v>
      </c>
    </row>
    <row r="283" spans="1:3" ht="18.75" customHeight="1" x14ac:dyDescent="0.35">
      <c r="A283" s="3" t="s">
        <v>24</v>
      </c>
      <c r="B283" s="8" t="s">
        <v>301</v>
      </c>
      <c r="C283" s="7">
        <v>0</v>
      </c>
    </row>
    <row r="284" spans="1:3" ht="18.75" customHeight="1" x14ac:dyDescent="0.35"/>
  </sheetData>
  <sheetProtection algorithmName="SHA-512" hashValue="EeDVtfTq+dWzdJDTnTYSL2/cbt/+IZuwSO/1WtbeItx4lqxGfxNqek3nESPNli+BwiSC6sSuY4qegCPAG/OhEA==" saltValue="KDzqG7rlAPOahJRiyO8IEw==" spinCount="100000" sheet="1" sort="0" autoFilter="0" pivotTables="0"/>
  <autoFilter ref="A3:C283" xr:uid="{7E3EBE48-323E-4C7F-A22E-32EFB174D8F4}">
    <sortState xmlns:xlrd2="http://schemas.microsoft.com/office/spreadsheetml/2017/richdata2" ref="A4:C283">
      <sortCondition ref="B3:B283"/>
    </sortState>
  </autoFilter>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BE48-323E-4C7F-A22E-32EFB174D8F4}">
  <sheetPr codeName="Sheet3"/>
  <dimension ref="A1:I284"/>
  <sheetViews>
    <sheetView workbookViewId="0">
      <selection activeCell="G2" sqref="G2"/>
    </sheetView>
  </sheetViews>
  <sheetFormatPr defaultColWidth="9.109375" defaultRowHeight="18" x14ac:dyDescent="0.35"/>
  <cols>
    <col min="1" max="1" width="22.88671875" style="3" customWidth="1"/>
    <col min="2" max="2" width="29.44140625" style="3" customWidth="1"/>
    <col min="3" max="3" width="37.6640625" style="3" customWidth="1"/>
    <col min="4" max="4" width="17.88671875" style="3" bestFit="1" customWidth="1"/>
    <col min="5" max="5" width="17.6640625" style="3" customWidth="1"/>
    <col min="6" max="6" width="17.33203125" style="3" customWidth="1"/>
    <col min="7" max="7" width="17.109375" style="3" customWidth="1"/>
    <col min="8" max="8" width="18.6640625" style="3" customWidth="1"/>
    <col min="9" max="10" width="21" style="3" customWidth="1"/>
    <col min="11" max="16384" width="9.109375" style="3"/>
  </cols>
  <sheetData>
    <row r="1" spans="1:9" ht="22.8" x14ac:dyDescent="0.4">
      <c r="A1" s="114" t="s">
        <v>306</v>
      </c>
      <c r="B1" s="114"/>
      <c r="C1" s="114"/>
      <c r="D1" s="5">
        <v>2021</v>
      </c>
      <c r="E1" s="5">
        <v>2022</v>
      </c>
      <c r="F1" s="5">
        <v>2023</v>
      </c>
      <c r="G1" s="5">
        <v>2024</v>
      </c>
      <c r="H1" s="5">
        <v>2025</v>
      </c>
      <c r="I1" s="5"/>
    </row>
    <row r="2" spans="1:9" x14ac:dyDescent="0.35">
      <c r="A2" s="44" t="s">
        <v>307</v>
      </c>
      <c r="B2" s="11"/>
      <c r="C2" s="11"/>
      <c r="D2" s="18" t="s">
        <v>308</v>
      </c>
      <c r="E2" s="18" t="s">
        <v>308</v>
      </c>
      <c r="F2" s="18" t="s">
        <v>308</v>
      </c>
      <c r="G2" s="15" t="s">
        <v>308</v>
      </c>
      <c r="H2" s="15" t="s">
        <v>309</v>
      </c>
      <c r="I2" s="11"/>
    </row>
    <row r="3" spans="1:9" ht="47.25" customHeight="1" x14ac:dyDescent="0.35">
      <c r="A3" s="11" t="s">
        <v>3</v>
      </c>
      <c r="B3" s="11" t="s">
        <v>310</v>
      </c>
      <c r="C3" s="11" t="s">
        <v>4</v>
      </c>
      <c r="D3" s="18" t="s">
        <v>311</v>
      </c>
      <c r="E3" s="18" t="s">
        <v>312</v>
      </c>
      <c r="F3" s="18" t="s">
        <v>313</v>
      </c>
      <c r="G3" s="15" t="s">
        <v>314</v>
      </c>
      <c r="H3" s="15" t="s">
        <v>315</v>
      </c>
      <c r="I3" s="15" t="s">
        <v>13</v>
      </c>
    </row>
    <row r="4" spans="1:9" ht="18.75" customHeight="1" x14ac:dyDescent="0.35">
      <c r="A4" s="8" t="s">
        <v>270</v>
      </c>
      <c r="B4" s="24"/>
      <c r="C4" s="8" t="s">
        <v>270</v>
      </c>
      <c r="D4" s="7">
        <v>16210202.210000001</v>
      </c>
      <c r="E4" s="7">
        <v>836753.43</v>
      </c>
      <c r="F4" s="7">
        <v>836753.43</v>
      </c>
      <c r="G4" s="7">
        <v>836753.43</v>
      </c>
      <c r="H4" s="7">
        <v>836753.43</v>
      </c>
      <c r="I4" s="7">
        <f>SUM(D4:H4)</f>
        <v>19557215.93</v>
      </c>
    </row>
    <row r="5" spans="1:9" ht="18.75" customHeight="1" x14ac:dyDescent="0.35">
      <c r="A5" s="3" t="s">
        <v>14</v>
      </c>
      <c r="B5" s="6"/>
      <c r="C5" s="8" t="s">
        <v>15</v>
      </c>
    </row>
    <row r="6" spans="1:9" ht="18.75" customHeight="1" x14ac:dyDescent="0.35">
      <c r="A6" s="3" t="s">
        <v>16</v>
      </c>
      <c r="B6" s="6"/>
      <c r="C6" s="8" t="s">
        <v>17</v>
      </c>
    </row>
    <row r="7" spans="1:9" ht="18.75" customHeight="1" x14ac:dyDescent="0.35">
      <c r="A7" s="3" t="s">
        <v>18</v>
      </c>
      <c r="B7" s="6"/>
      <c r="C7" s="8" t="s">
        <v>18</v>
      </c>
    </row>
    <row r="8" spans="1:9" ht="18.75" customHeight="1" x14ac:dyDescent="0.35">
      <c r="A8" s="3" t="s">
        <v>19</v>
      </c>
      <c r="B8" s="6"/>
      <c r="C8" s="8" t="s">
        <v>19</v>
      </c>
    </row>
    <row r="9" spans="1:9" ht="18.75" customHeight="1" x14ac:dyDescent="0.35">
      <c r="A9" s="3" t="s">
        <v>14</v>
      </c>
      <c r="B9" s="6"/>
      <c r="C9" s="8" t="s">
        <v>20</v>
      </c>
    </row>
    <row r="10" spans="1:9" ht="18.75" customHeight="1" x14ac:dyDescent="0.35">
      <c r="A10" s="3" t="s">
        <v>21</v>
      </c>
      <c r="B10" s="6"/>
      <c r="C10" s="8" t="s">
        <v>21</v>
      </c>
    </row>
    <row r="11" spans="1:9" ht="18.75" customHeight="1" x14ac:dyDescent="0.35">
      <c r="A11" s="3" t="s">
        <v>22</v>
      </c>
      <c r="B11" s="6"/>
      <c r="C11" s="8" t="s">
        <v>23</v>
      </c>
    </row>
    <row r="12" spans="1:9" ht="18.75" customHeight="1" x14ac:dyDescent="0.35">
      <c r="A12" s="3" t="s">
        <v>24</v>
      </c>
      <c r="B12" s="6"/>
      <c r="C12" s="8" t="s">
        <v>25</v>
      </c>
    </row>
    <row r="13" spans="1:9" ht="18.75" customHeight="1" x14ac:dyDescent="0.35">
      <c r="A13" s="3" t="s">
        <v>26</v>
      </c>
      <c r="B13" s="6"/>
      <c r="C13" s="8" t="s">
        <v>26</v>
      </c>
    </row>
    <row r="14" spans="1:9" ht="18.75" customHeight="1" x14ac:dyDescent="0.35">
      <c r="A14" s="3" t="s">
        <v>14</v>
      </c>
      <c r="B14" s="6"/>
      <c r="C14" s="8" t="s">
        <v>27</v>
      </c>
    </row>
    <row r="15" spans="1:9" ht="18.75" customHeight="1" x14ac:dyDescent="0.35">
      <c r="A15" s="3" t="s">
        <v>28</v>
      </c>
      <c r="B15" s="6"/>
      <c r="C15" s="8" t="s">
        <v>29</v>
      </c>
    </row>
    <row r="16" spans="1:9" ht="18.75" customHeight="1" x14ac:dyDescent="0.35">
      <c r="A16" s="3" t="s">
        <v>30</v>
      </c>
      <c r="B16" s="6"/>
      <c r="C16" s="8" t="s">
        <v>30</v>
      </c>
    </row>
    <row r="17" spans="1:3" ht="18.75" customHeight="1" x14ac:dyDescent="0.35">
      <c r="A17" s="3" t="s">
        <v>31</v>
      </c>
      <c r="B17" s="6"/>
      <c r="C17" s="8" t="s">
        <v>32</v>
      </c>
    </row>
    <row r="18" spans="1:3" ht="18.75" customHeight="1" x14ac:dyDescent="0.35">
      <c r="A18" s="3" t="s">
        <v>33</v>
      </c>
      <c r="B18" s="6"/>
      <c r="C18" s="8" t="s">
        <v>33</v>
      </c>
    </row>
    <row r="19" spans="1:3" ht="18.75" customHeight="1" x14ac:dyDescent="0.35">
      <c r="A19" s="3" t="s">
        <v>34</v>
      </c>
      <c r="B19" s="6"/>
      <c r="C19" s="8" t="s">
        <v>35</v>
      </c>
    </row>
    <row r="20" spans="1:3" ht="18.75" customHeight="1" x14ac:dyDescent="0.35">
      <c r="A20" s="3" t="s">
        <v>36</v>
      </c>
      <c r="B20" s="6"/>
      <c r="C20" s="8" t="s">
        <v>37</v>
      </c>
    </row>
    <row r="21" spans="1:3" ht="18.75" customHeight="1" x14ac:dyDescent="0.35">
      <c r="A21" s="3" t="s">
        <v>38</v>
      </c>
      <c r="B21" s="6"/>
      <c r="C21" s="8" t="s">
        <v>38</v>
      </c>
    </row>
    <row r="22" spans="1:3" ht="18.75" customHeight="1" x14ac:dyDescent="0.35">
      <c r="A22" s="3" t="s">
        <v>39</v>
      </c>
      <c r="B22" s="6"/>
      <c r="C22" s="8" t="s">
        <v>39</v>
      </c>
    </row>
    <row r="23" spans="1:3" ht="18.75" customHeight="1" x14ac:dyDescent="0.35">
      <c r="A23" s="3" t="s">
        <v>40</v>
      </c>
      <c r="B23" s="6"/>
      <c r="C23" s="8" t="s">
        <v>41</v>
      </c>
    </row>
    <row r="24" spans="1:3" ht="18.75" customHeight="1" x14ac:dyDescent="0.35">
      <c r="A24" s="3" t="s">
        <v>42</v>
      </c>
      <c r="B24" s="6"/>
      <c r="C24" s="8" t="s">
        <v>43</v>
      </c>
    </row>
    <row r="25" spans="1:3" ht="18.75" customHeight="1" x14ac:dyDescent="0.35">
      <c r="A25" s="3" t="s">
        <v>36</v>
      </c>
      <c r="B25" s="6"/>
      <c r="C25" s="8" t="s">
        <v>44</v>
      </c>
    </row>
    <row r="26" spans="1:3" ht="18.75" customHeight="1" x14ac:dyDescent="0.35">
      <c r="A26" s="3" t="s">
        <v>36</v>
      </c>
      <c r="B26" s="6"/>
      <c r="C26" s="8" t="s">
        <v>36</v>
      </c>
    </row>
    <row r="27" spans="1:3" ht="18.75" customHeight="1" x14ac:dyDescent="0.35">
      <c r="A27" s="3" t="s">
        <v>45</v>
      </c>
      <c r="B27" s="6"/>
      <c r="C27" s="8" t="s">
        <v>46</v>
      </c>
    </row>
    <row r="28" spans="1:3" ht="18.75" customHeight="1" x14ac:dyDescent="0.35">
      <c r="A28" s="3" t="s">
        <v>47</v>
      </c>
      <c r="B28" s="6"/>
      <c r="C28" s="8" t="s">
        <v>48</v>
      </c>
    </row>
    <row r="29" spans="1:3" ht="18.75" customHeight="1" x14ac:dyDescent="0.35">
      <c r="A29" s="3" t="s">
        <v>49</v>
      </c>
      <c r="B29" s="6"/>
      <c r="C29" s="8" t="s">
        <v>49</v>
      </c>
    </row>
    <row r="30" spans="1:3" ht="18.75" customHeight="1" x14ac:dyDescent="0.35">
      <c r="A30" s="3" t="s">
        <v>34</v>
      </c>
      <c r="B30" s="6"/>
      <c r="C30" s="8" t="s">
        <v>50</v>
      </c>
    </row>
    <row r="31" spans="1:3" ht="18.75" customHeight="1" x14ac:dyDescent="0.35">
      <c r="A31" s="3" t="s">
        <v>47</v>
      </c>
      <c r="B31" s="6"/>
      <c r="C31" s="8" t="s">
        <v>47</v>
      </c>
    </row>
    <row r="32" spans="1:3" ht="18.75" customHeight="1" x14ac:dyDescent="0.35">
      <c r="A32" s="3" t="s">
        <v>34</v>
      </c>
      <c r="B32" s="6"/>
      <c r="C32" s="8" t="s">
        <v>51</v>
      </c>
    </row>
    <row r="33" spans="1:3" ht="18.75" customHeight="1" x14ac:dyDescent="0.35">
      <c r="A33" s="3" t="s">
        <v>52</v>
      </c>
      <c r="B33" s="6"/>
      <c r="C33" s="8" t="s">
        <v>53</v>
      </c>
    </row>
    <row r="34" spans="1:3" ht="18.75" customHeight="1" x14ac:dyDescent="0.35">
      <c r="A34" s="3" t="s">
        <v>34</v>
      </c>
      <c r="B34" s="6"/>
      <c r="C34" s="8" t="s">
        <v>54</v>
      </c>
    </row>
    <row r="35" spans="1:3" ht="18.75" customHeight="1" x14ac:dyDescent="0.35">
      <c r="A35" s="3" t="s">
        <v>55</v>
      </c>
      <c r="B35" s="6"/>
      <c r="C35" s="8" t="s">
        <v>56</v>
      </c>
    </row>
    <row r="36" spans="1:3" ht="18.75" customHeight="1" x14ac:dyDescent="0.35">
      <c r="A36" s="3" t="s">
        <v>34</v>
      </c>
      <c r="B36" s="6"/>
      <c r="C36" s="8" t="s">
        <v>57</v>
      </c>
    </row>
    <row r="37" spans="1:3" ht="18.75" customHeight="1" x14ac:dyDescent="0.35">
      <c r="A37" s="3" t="s">
        <v>58</v>
      </c>
      <c r="B37" s="6"/>
      <c r="C37" s="8" t="s">
        <v>58</v>
      </c>
    </row>
    <row r="38" spans="1:3" ht="18.75" customHeight="1" x14ac:dyDescent="0.35">
      <c r="A38" s="3" t="s">
        <v>34</v>
      </c>
      <c r="B38" s="6"/>
      <c r="C38" s="8" t="s">
        <v>59</v>
      </c>
    </row>
    <row r="39" spans="1:3" ht="18.75" customHeight="1" x14ac:dyDescent="0.35">
      <c r="A39" s="3" t="s">
        <v>60</v>
      </c>
      <c r="B39" s="6"/>
      <c r="C39" s="8" t="s">
        <v>61</v>
      </c>
    </row>
    <row r="40" spans="1:3" ht="18.75" customHeight="1" x14ac:dyDescent="0.35">
      <c r="A40" s="3" t="s">
        <v>22</v>
      </c>
      <c r="B40" s="6"/>
      <c r="C40" s="8" t="s">
        <v>62</v>
      </c>
    </row>
    <row r="41" spans="1:3" ht="18.75" customHeight="1" x14ac:dyDescent="0.35">
      <c r="A41" s="3" t="s">
        <v>63</v>
      </c>
      <c r="B41" s="6"/>
      <c r="C41" s="8" t="s">
        <v>64</v>
      </c>
    </row>
    <row r="42" spans="1:3" ht="18.75" customHeight="1" x14ac:dyDescent="0.35">
      <c r="A42" s="3" t="s">
        <v>14</v>
      </c>
      <c r="B42" s="6"/>
      <c r="C42" s="8" t="s">
        <v>65</v>
      </c>
    </row>
    <row r="43" spans="1:3" ht="18.75" customHeight="1" x14ac:dyDescent="0.35">
      <c r="A43" s="3" t="s">
        <v>66</v>
      </c>
      <c r="B43" s="6"/>
      <c r="C43" s="8" t="s">
        <v>67</v>
      </c>
    </row>
    <row r="44" spans="1:3" ht="18.75" customHeight="1" x14ac:dyDescent="0.35">
      <c r="A44" s="3" t="s">
        <v>14</v>
      </c>
      <c r="B44" s="6"/>
      <c r="C44" s="8" t="s">
        <v>68</v>
      </c>
    </row>
    <row r="45" spans="1:3" ht="18.75" customHeight="1" x14ac:dyDescent="0.35">
      <c r="A45" s="3" t="s">
        <v>42</v>
      </c>
      <c r="B45" s="6"/>
      <c r="C45" s="8" t="s">
        <v>42</v>
      </c>
    </row>
    <row r="46" spans="1:3" ht="18.75" customHeight="1" x14ac:dyDescent="0.35">
      <c r="A46" s="3" t="s">
        <v>14</v>
      </c>
      <c r="B46" s="6"/>
      <c r="C46" s="8" t="s">
        <v>69</v>
      </c>
    </row>
    <row r="47" spans="1:3" ht="18.75" customHeight="1" x14ac:dyDescent="0.35">
      <c r="A47" s="3" t="s">
        <v>22</v>
      </c>
      <c r="B47" s="6"/>
      <c r="C47" s="8" t="s">
        <v>70</v>
      </c>
    </row>
    <row r="48" spans="1:3" ht="18.75" customHeight="1" x14ac:dyDescent="0.35">
      <c r="A48" s="3" t="s">
        <v>14</v>
      </c>
      <c r="B48" s="6"/>
      <c r="C48" s="8" t="s">
        <v>71</v>
      </c>
    </row>
    <row r="49" spans="1:3" ht="18.75" customHeight="1" x14ac:dyDescent="0.35">
      <c r="A49" s="3" t="s">
        <v>72</v>
      </c>
      <c r="B49" s="6"/>
      <c r="C49" s="8" t="s">
        <v>72</v>
      </c>
    </row>
    <row r="50" spans="1:3" ht="18.75" customHeight="1" x14ac:dyDescent="0.35">
      <c r="A50" s="3" t="s">
        <v>73</v>
      </c>
      <c r="B50" s="6"/>
      <c r="C50" s="8" t="s">
        <v>73</v>
      </c>
    </row>
    <row r="51" spans="1:3" ht="18.75" customHeight="1" x14ac:dyDescent="0.35">
      <c r="A51" s="3" t="s">
        <v>74</v>
      </c>
      <c r="B51" s="6"/>
      <c r="C51" s="8" t="s">
        <v>74</v>
      </c>
    </row>
    <row r="52" spans="1:3" ht="18.75" customHeight="1" x14ac:dyDescent="0.35">
      <c r="A52" s="3" t="s">
        <v>75</v>
      </c>
      <c r="B52" s="6"/>
      <c r="C52" s="8" t="s">
        <v>76</v>
      </c>
    </row>
    <row r="53" spans="1:3" ht="18.75" customHeight="1" x14ac:dyDescent="0.35">
      <c r="A53" s="3" t="s">
        <v>77</v>
      </c>
      <c r="B53" s="6"/>
      <c r="C53" s="8" t="s">
        <v>77</v>
      </c>
    </row>
    <row r="54" spans="1:3" ht="18.75" customHeight="1" x14ac:dyDescent="0.35">
      <c r="A54" s="3" t="s">
        <v>78</v>
      </c>
      <c r="B54" s="6"/>
      <c r="C54" s="8" t="s">
        <v>78</v>
      </c>
    </row>
    <row r="55" spans="1:3" ht="18.75" customHeight="1" x14ac:dyDescent="0.35">
      <c r="A55" s="3" t="s">
        <v>34</v>
      </c>
      <c r="B55" s="6"/>
      <c r="C55" s="8" t="s">
        <v>79</v>
      </c>
    </row>
    <row r="56" spans="1:3" ht="18.75" customHeight="1" x14ac:dyDescent="0.35">
      <c r="A56" s="3" t="s">
        <v>75</v>
      </c>
      <c r="B56" s="6"/>
      <c r="C56" s="8" t="s">
        <v>80</v>
      </c>
    </row>
    <row r="57" spans="1:3" ht="18.75" customHeight="1" x14ac:dyDescent="0.35">
      <c r="A57" s="3" t="s">
        <v>40</v>
      </c>
      <c r="B57" s="6"/>
      <c r="C57" s="8" t="s">
        <v>40</v>
      </c>
    </row>
    <row r="58" spans="1:3" ht="18.75" customHeight="1" x14ac:dyDescent="0.35">
      <c r="A58" s="3" t="s">
        <v>58</v>
      </c>
      <c r="B58" s="6"/>
      <c r="C58" s="8" t="s">
        <v>81</v>
      </c>
    </row>
    <row r="59" spans="1:3" ht="18.75" customHeight="1" x14ac:dyDescent="0.35">
      <c r="A59" s="3" t="s">
        <v>34</v>
      </c>
      <c r="B59" s="6"/>
      <c r="C59" s="8" t="s">
        <v>82</v>
      </c>
    </row>
    <row r="60" spans="1:3" ht="18.75" customHeight="1" x14ac:dyDescent="0.35">
      <c r="A60" s="3" t="s">
        <v>83</v>
      </c>
      <c r="B60" s="6"/>
      <c r="C60" s="8" t="s">
        <v>84</v>
      </c>
    </row>
    <row r="61" spans="1:3" ht="18.75" customHeight="1" x14ac:dyDescent="0.35">
      <c r="A61" s="3" t="s">
        <v>83</v>
      </c>
      <c r="B61" s="6"/>
      <c r="C61" s="8" t="s">
        <v>85</v>
      </c>
    </row>
    <row r="62" spans="1:3" ht="18.75" customHeight="1" x14ac:dyDescent="0.35">
      <c r="A62" s="3" t="s">
        <v>86</v>
      </c>
      <c r="B62" s="6"/>
      <c r="C62" s="8" t="s">
        <v>86</v>
      </c>
    </row>
    <row r="63" spans="1:3" ht="18.75" customHeight="1" x14ac:dyDescent="0.35">
      <c r="A63" s="3" t="s">
        <v>63</v>
      </c>
      <c r="B63" s="6"/>
      <c r="C63" s="8" t="s">
        <v>87</v>
      </c>
    </row>
    <row r="64" spans="1:3" ht="18.75" customHeight="1" x14ac:dyDescent="0.35">
      <c r="A64" s="3" t="s">
        <v>22</v>
      </c>
      <c r="B64" s="6"/>
      <c r="C64" s="8" t="s">
        <v>88</v>
      </c>
    </row>
    <row r="65" spans="1:3" ht="18.75" customHeight="1" x14ac:dyDescent="0.35">
      <c r="A65" s="3" t="s">
        <v>22</v>
      </c>
      <c r="B65" s="6"/>
      <c r="C65" s="8" t="s">
        <v>89</v>
      </c>
    </row>
    <row r="66" spans="1:3" ht="18.75" customHeight="1" x14ac:dyDescent="0.35">
      <c r="A66" s="3" t="s">
        <v>90</v>
      </c>
      <c r="B66" s="6"/>
      <c r="C66" s="8" t="s">
        <v>91</v>
      </c>
    </row>
    <row r="67" spans="1:3" ht="18.75" customHeight="1" x14ac:dyDescent="0.35">
      <c r="A67" s="3" t="s">
        <v>92</v>
      </c>
      <c r="B67" s="6"/>
      <c r="C67" s="8" t="s">
        <v>93</v>
      </c>
    </row>
    <row r="68" spans="1:3" ht="18.75" customHeight="1" x14ac:dyDescent="0.35">
      <c r="A68" s="3" t="s">
        <v>94</v>
      </c>
      <c r="B68" s="6"/>
      <c r="C68" s="8" t="s">
        <v>94</v>
      </c>
    </row>
    <row r="69" spans="1:3" ht="18.75" customHeight="1" x14ac:dyDescent="0.35">
      <c r="A69" s="3" t="s">
        <v>22</v>
      </c>
      <c r="B69" s="6"/>
      <c r="C69" s="8" t="s">
        <v>95</v>
      </c>
    </row>
    <row r="70" spans="1:3" ht="18.75" customHeight="1" x14ac:dyDescent="0.35">
      <c r="A70" s="3" t="s">
        <v>22</v>
      </c>
      <c r="B70" s="6"/>
      <c r="C70" s="8" t="s">
        <v>96</v>
      </c>
    </row>
    <row r="71" spans="1:3" ht="18.75" customHeight="1" x14ac:dyDescent="0.35">
      <c r="A71" s="3" t="s">
        <v>40</v>
      </c>
      <c r="B71" s="6"/>
      <c r="C71" s="8" t="s">
        <v>97</v>
      </c>
    </row>
    <row r="72" spans="1:3" ht="18.75" customHeight="1" x14ac:dyDescent="0.35">
      <c r="A72" s="3" t="s">
        <v>98</v>
      </c>
      <c r="B72" s="6"/>
      <c r="C72" s="8" t="s">
        <v>98</v>
      </c>
    </row>
    <row r="73" spans="1:3" ht="18.75" customHeight="1" x14ac:dyDescent="0.35">
      <c r="A73" s="3" t="s">
        <v>99</v>
      </c>
      <c r="B73" s="6"/>
      <c r="C73" s="8" t="s">
        <v>100</v>
      </c>
    </row>
    <row r="74" spans="1:3" ht="18.75" customHeight="1" x14ac:dyDescent="0.35">
      <c r="A74" s="3" t="s">
        <v>14</v>
      </c>
      <c r="B74" s="6"/>
      <c r="C74" s="8" t="s">
        <v>101</v>
      </c>
    </row>
    <row r="75" spans="1:3" ht="18.75" customHeight="1" x14ac:dyDescent="0.35">
      <c r="A75" s="3" t="s">
        <v>102</v>
      </c>
      <c r="B75" s="6"/>
      <c r="C75" s="8" t="s">
        <v>103</v>
      </c>
    </row>
    <row r="76" spans="1:3" ht="18.75" customHeight="1" x14ac:dyDescent="0.35">
      <c r="A76" s="3" t="s">
        <v>75</v>
      </c>
      <c r="B76" s="6"/>
      <c r="C76" s="8" t="s">
        <v>104</v>
      </c>
    </row>
    <row r="77" spans="1:3" ht="18.75" customHeight="1" x14ac:dyDescent="0.35">
      <c r="A77" s="3" t="s">
        <v>92</v>
      </c>
      <c r="B77" s="6"/>
      <c r="C77" s="8" t="s">
        <v>92</v>
      </c>
    </row>
    <row r="78" spans="1:3" ht="18.75" customHeight="1" x14ac:dyDescent="0.35">
      <c r="A78" s="3" t="s">
        <v>105</v>
      </c>
      <c r="B78" s="6"/>
      <c r="C78" s="8" t="s">
        <v>106</v>
      </c>
    </row>
    <row r="79" spans="1:3" ht="18.75" customHeight="1" x14ac:dyDescent="0.35">
      <c r="A79" s="3" t="s">
        <v>107</v>
      </c>
      <c r="B79" s="6"/>
      <c r="C79" s="8" t="s">
        <v>107</v>
      </c>
    </row>
    <row r="80" spans="1:3" ht="18.75" customHeight="1" x14ac:dyDescent="0.35">
      <c r="A80" s="3" t="s">
        <v>42</v>
      </c>
      <c r="B80" s="6"/>
      <c r="C80" s="8" t="s">
        <v>108</v>
      </c>
    </row>
    <row r="81" spans="1:3" ht="18.75" customHeight="1" x14ac:dyDescent="0.35">
      <c r="A81" s="3" t="s">
        <v>94</v>
      </c>
      <c r="B81" s="6"/>
      <c r="C81" s="8" t="s">
        <v>109</v>
      </c>
    </row>
    <row r="82" spans="1:3" ht="18.75" customHeight="1" x14ac:dyDescent="0.35">
      <c r="A82" s="3" t="s">
        <v>34</v>
      </c>
      <c r="B82" s="6"/>
      <c r="C82" s="8" t="s">
        <v>110</v>
      </c>
    </row>
    <row r="83" spans="1:3" ht="18.75" customHeight="1" x14ac:dyDescent="0.35">
      <c r="A83" s="3" t="s">
        <v>34</v>
      </c>
      <c r="B83" s="6"/>
      <c r="C83" s="8" t="s">
        <v>111</v>
      </c>
    </row>
    <row r="84" spans="1:3" ht="18.75" customHeight="1" x14ac:dyDescent="0.35">
      <c r="A84" s="3" t="s">
        <v>63</v>
      </c>
      <c r="B84" s="6"/>
      <c r="C84" s="8" t="s">
        <v>112</v>
      </c>
    </row>
    <row r="85" spans="1:3" ht="18.75" customHeight="1" x14ac:dyDescent="0.35">
      <c r="A85" s="3" t="s">
        <v>113</v>
      </c>
      <c r="B85" s="6"/>
      <c r="C85" s="8" t="s">
        <v>114</v>
      </c>
    </row>
    <row r="86" spans="1:3" ht="18.75" customHeight="1" x14ac:dyDescent="0.35">
      <c r="A86" s="3" t="s">
        <v>34</v>
      </c>
      <c r="B86" s="6"/>
      <c r="C86" s="8" t="s">
        <v>115</v>
      </c>
    </row>
    <row r="87" spans="1:3" ht="18.75" customHeight="1" x14ac:dyDescent="0.35">
      <c r="A87" s="3" t="s">
        <v>116</v>
      </c>
      <c r="B87" s="6"/>
      <c r="C87" s="8" t="s">
        <v>117</v>
      </c>
    </row>
    <row r="88" spans="1:3" ht="18.75" customHeight="1" x14ac:dyDescent="0.35">
      <c r="A88" s="3" t="s">
        <v>63</v>
      </c>
      <c r="B88" s="6"/>
      <c r="C88" s="8" t="s">
        <v>118</v>
      </c>
    </row>
    <row r="89" spans="1:3" ht="18.75" customHeight="1" x14ac:dyDescent="0.35">
      <c r="A89" s="3" t="s">
        <v>63</v>
      </c>
      <c r="B89" s="6"/>
      <c r="C89" s="8" t="s">
        <v>119</v>
      </c>
    </row>
    <row r="90" spans="1:3" ht="18.75" customHeight="1" x14ac:dyDescent="0.35">
      <c r="A90" s="3" t="s">
        <v>63</v>
      </c>
      <c r="B90" s="6"/>
      <c r="C90" s="8" t="s">
        <v>120</v>
      </c>
    </row>
    <row r="91" spans="1:3" ht="18.75" customHeight="1" x14ac:dyDescent="0.35">
      <c r="A91" s="3" t="s">
        <v>121</v>
      </c>
      <c r="B91" s="6"/>
      <c r="C91" s="8" t="s">
        <v>122</v>
      </c>
    </row>
    <row r="92" spans="1:3" ht="18.75" customHeight="1" x14ac:dyDescent="0.35">
      <c r="A92" s="3" t="s">
        <v>75</v>
      </c>
      <c r="B92" s="6"/>
      <c r="C92" s="8" t="s">
        <v>123</v>
      </c>
    </row>
    <row r="93" spans="1:3" ht="18.75" customHeight="1" x14ac:dyDescent="0.35">
      <c r="A93" s="3" t="s">
        <v>45</v>
      </c>
      <c r="B93" s="6"/>
      <c r="C93" s="8" t="s">
        <v>124</v>
      </c>
    </row>
    <row r="94" spans="1:3" ht="18.75" customHeight="1" x14ac:dyDescent="0.35">
      <c r="A94" s="3" t="s">
        <v>105</v>
      </c>
      <c r="B94" s="6"/>
      <c r="C94" s="8" t="s">
        <v>125</v>
      </c>
    </row>
    <row r="95" spans="1:3" ht="18.75" customHeight="1" x14ac:dyDescent="0.35">
      <c r="A95" s="3" t="s">
        <v>14</v>
      </c>
      <c r="B95" s="6"/>
      <c r="C95" s="8" t="s">
        <v>339</v>
      </c>
    </row>
    <row r="96" spans="1:3" ht="18.75" customHeight="1" x14ac:dyDescent="0.35">
      <c r="A96" s="3" t="s">
        <v>22</v>
      </c>
      <c r="B96" s="6"/>
      <c r="C96" s="8" t="s">
        <v>127</v>
      </c>
    </row>
    <row r="97" spans="1:3" ht="18.75" customHeight="1" x14ac:dyDescent="0.35">
      <c r="A97" s="3" t="s">
        <v>99</v>
      </c>
      <c r="B97" s="6"/>
      <c r="C97" s="8" t="s">
        <v>128</v>
      </c>
    </row>
    <row r="98" spans="1:3" ht="18.75" customHeight="1" x14ac:dyDescent="0.35">
      <c r="A98" s="3" t="s">
        <v>63</v>
      </c>
      <c r="B98" s="6"/>
      <c r="C98" s="8" t="s">
        <v>129</v>
      </c>
    </row>
    <row r="99" spans="1:3" ht="18.75" customHeight="1" x14ac:dyDescent="0.35">
      <c r="A99" s="3" t="s">
        <v>63</v>
      </c>
      <c r="B99" s="6"/>
      <c r="C99" s="8" t="s">
        <v>63</v>
      </c>
    </row>
    <row r="100" spans="1:3" ht="18.75" customHeight="1" x14ac:dyDescent="0.35">
      <c r="A100" s="3" t="s">
        <v>60</v>
      </c>
      <c r="B100" s="6"/>
      <c r="C100" s="8" t="s">
        <v>130</v>
      </c>
    </row>
    <row r="101" spans="1:3" ht="18.75" customHeight="1" x14ac:dyDescent="0.35">
      <c r="A101" s="3" t="s">
        <v>24</v>
      </c>
      <c r="B101" s="6"/>
      <c r="C101" s="8" t="s">
        <v>131</v>
      </c>
    </row>
    <row r="102" spans="1:3" ht="18.75" customHeight="1" x14ac:dyDescent="0.35">
      <c r="A102" s="3" t="s">
        <v>132</v>
      </c>
      <c r="B102" s="6"/>
      <c r="C102" s="8" t="s">
        <v>132</v>
      </c>
    </row>
    <row r="103" spans="1:3" ht="18.75" customHeight="1" x14ac:dyDescent="0.35">
      <c r="A103" s="3" t="s">
        <v>133</v>
      </c>
      <c r="B103" s="6"/>
      <c r="C103" s="8" t="s">
        <v>133</v>
      </c>
    </row>
    <row r="104" spans="1:3" ht="18.75" customHeight="1" x14ac:dyDescent="0.35">
      <c r="A104" s="3" t="s">
        <v>63</v>
      </c>
      <c r="B104" s="6"/>
      <c r="C104" s="8" t="s">
        <v>134</v>
      </c>
    </row>
    <row r="105" spans="1:3" ht="18.75" customHeight="1" x14ac:dyDescent="0.35">
      <c r="A105" s="3" t="s">
        <v>24</v>
      </c>
      <c r="B105" s="6"/>
      <c r="C105" s="8" t="s">
        <v>135</v>
      </c>
    </row>
    <row r="106" spans="1:3" ht="18.75" customHeight="1" x14ac:dyDescent="0.35">
      <c r="A106" s="3" t="s">
        <v>24</v>
      </c>
      <c r="B106" s="6"/>
      <c r="C106" s="8" t="s">
        <v>136</v>
      </c>
    </row>
    <row r="107" spans="1:3" ht="18.75" customHeight="1" x14ac:dyDescent="0.35">
      <c r="A107" s="3" t="s">
        <v>14</v>
      </c>
      <c r="B107" s="6"/>
      <c r="C107" s="8" t="s">
        <v>137</v>
      </c>
    </row>
    <row r="108" spans="1:3" ht="18.75" customHeight="1" x14ac:dyDescent="0.35">
      <c r="A108" s="3" t="s">
        <v>14</v>
      </c>
      <c r="B108" s="6"/>
      <c r="C108" s="8" t="s">
        <v>138</v>
      </c>
    </row>
    <row r="109" spans="1:3" ht="18.75" customHeight="1" x14ac:dyDescent="0.35">
      <c r="A109" s="3" t="s">
        <v>99</v>
      </c>
      <c r="B109" s="6"/>
      <c r="C109" s="8" t="s">
        <v>99</v>
      </c>
    </row>
    <row r="110" spans="1:3" ht="18.75" customHeight="1" x14ac:dyDescent="0.35">
      <c r="A110" s="3" t="s">
        <v>14</v>
      </c>
      <c r="B110" s="6"/>
      <c r="C110" s="8" t="s">
        <v>139</v>
      </c>
    </row>
    <row r="111" spans="1:3" ht="18.75" customHeight="1" x14ac:dyDescent="0.35">
      <c r="A111" s="3" t="s">
        <v>140</v>
      </c>
      <c r="B111" s="6"/>
      <c r="C111" s="8" t="s">
        <v>140</v>
      </c>
    </row>
    <row r="112" spans="1:3" ht="18.75" customHeight="1" x14ac:dyDescent="0.35">
      <c r="A112" s="3" t="s">
        <v>60</v>
      </c>
      <c r="B112" s="6"/>
      <c r="C112" s="8" t="s">
        <v>141</v>
      </c>
    </row>
    <row r="113" spans="1:3" ht="18.75" customHeight="1" x14ac:dyDescent="0.35">
      <c r="A113" s="3" t="s">
        <v>22</v>
      </c>
      <c r="B113" s="6"/>
      <c r="C113" s="8" t="s">
        <v>142</v>
      </c>
    </row>
    <row r="114" spans="1:3" ht="18.75" customHeight="1" x14ac:dyDescent="0.35">
      <c r="A114" s="3" t="s">
        <v>22</v>
      </c>
      <c r="B114" s="6"/>
      <c r="C114" s="8" t="s">
        <v>143</v>
      </c>
    </row>
    <row r="115" spans="1:3" ht="18.75" customHeight="1" x14ac:dyDescent="0.35">
      <c r="A115" s="3" t="s">
        <v>22</v>
      </c>
      <c r="B115" s="6"/>
      <c r="C115" s="8" t="s">
        <v>144</v>
      </c>
    </row>
    <row r="116" spans="1:3" ht="18.75" customHeight="1" x14ac:dyDescent="0.35">
      <c r="A116" s="3" t="s">
        <v>60</v>
      </c>
      <c r="B116" s="6"/>
      <c r="C116" s="8" t="s">
        <v>145</v>
      </c>
    </row>
    <row r="117" spans="1:3" ht="18.75" customHeight="1" x14ac:dyDescent="0.35">
      <c r="A117" s="3" t="s">
        <v>22</v>
      </c>
      <c r="B117" s="6"/>
      <c r="C117" s="8" t="s">
        <v>146</v>
      </c>
    </row>
    <row r="118" spans="1:3" ht="18.75" customHeight="1" x14ac:dyDescent="0.35">
      <c r="A118" s="3" t="s">
        <v>22</v>
      </c>
      <c r="B118" s="6"/>
      <c r="C118" s="8" t="s">
        <v>147</v>
      </c>
    </row>
    <row r="119" spans="1:3" ht="18.75" customHeight="1" x14ac:dyDescent="0.35">
      <c r="A119" s="3" t="s">
        <v>75</v>
      </c>
      <c r="B119" s="6"/>
      <c r="C119" s="8" t="s">
        <v>148</v>
      </c>
    </row>
    <row r="120" spans="1:3" ht="18.75" customHeight="1" x14ac:dyDescent="0.35">
      <c r="A120" s="3" t="s">
        <v>60</v>
      </c>
      <c r="B120" s="6"/>
      <c r="C120" s="8" t="s">
        <v>149</v>
      </c>
    </row>
    <row r="121" spans="1:3" ht="18.75" customHeight="1" x14ac:dyDescent="0.35">
      <c r="A121" s="3" t="s">
        <v>34</v>
      </c>
      <c r="B121" s="6"/>
      <c r="C121" s="8" t="s">
        <v>150</v>
      </c>
    </row>
    <row r="122" spans="1:3" ht="18.75" customHeight="1" x14ac:dyDescent="0.35">
      <c r="A122" s="3" t="s">
        <v>34</v>
      </c>
      <c r="B122" s="6"/>
      <c r="C122" s="8" t="s">
        <v>151</v>
      </c>
    </row>
    <row r="123" spans="1:3" ht="18.75" customHeight="1" x14ac:dyDescent="0.35">
      <c r="A123" s="3" t="s">
        <v>22</v>
      </c>
      <c r="B123" s="6"/>
      <c r="C123" s="8" t="s">
        <v>152</v>
      </c>
    </row>
    <row r="124" spans="1:3" ht="18.75" customHeight="1" x14ac:dyDescent="0.35">
      <c r="A124" s="3" t="s">
        <v>153</v>
      </c>
      <c r="B124" s="6"/>
      <c r="C124" s="8" t="s">
        <v>153</v>
      </c>
    </row>
    <row r="125" spans="1:3" ht="18.75" customHeight="1" x14ac:dyDescent="0.35">
      <c r="A125" s="3" t="s">
        <v>24</v>
      </c>
      <c r="B125" s="6"/>
      <c r="C125" s="8" t="s">
        <v>154</v>
      </c>
    </row>
    <row r="126" spans="1:3" ht="18.75" customHeight="1" x14ac:dyDescent="0.35">
      <c r="A126" s="3" t="s">
        <v>155</v>
      </c>
      <c r="B126" s="6"/>
      <c r="C126" s="8" t="s">
        <v>156</v>
      </c>
    </row>
    <row r="127" spans="1:3" ht="18.75" customHeight="1" x14ac:dyDescent="0.35">
      <c r="A127" s="3" t="s">
        <v>34</v>
      </c>
      <c r="B127" s="6"/>
      <c r="C127" s="8" t="s">
        <v>157</v>
      </c>
    </row>
    <row r="128" spans="1:3" ht="18.75" customHeight="1" x14ac:dyDescent="0.35">
      <c r="A128" s="3" t="s">
        <v>158</v>
      </c>
      <c r="B128" s="6"/>
      <c r="C128" s="8" t="s">
        <v>158</v>
      </c>
    </row>
    <row r="129" spans="1:3" ht="18.75" customHeight="1" x14ac:dyDescent="0.35">
      <c r="A129" s="3" t="s">
        <v>22</v>
      </c>
      <c r="B129" s="6"/>
      <c r="C129" s="8" t="s">
        <v>159</v>
      </c>
    </row>
    <row r="130" spans="1:3" ht="18.75" customHeight="1" x14ac:dyDescent="0.35">
      <c r="A130" s="3" t="s">
        <v>160</v>
      </c>
      <c r="B130" s="6"/>
      <c r="C130" s="8" t="s">
        <v>160</v>
      </c>
    </row>
    <row r="131" spans="1:3" ht="18.75" customHeight="1" x14ac:dyDescent="0.35">
      <c r="A131" s="3" t="s">
        <v>34</v>
      </c>
      <c r="B131" s="6"/>
      <c r="C131" s="8" t="s">
        <v>161</v>
      </c>
    </row>
    <row r="132" spans="1:3" ht="18.75" customHeight="1" x14ac:dyDescent="0.35">
      <c r="A132" s="3" t="s">
        <v>90</v>
      </c>
      <c r="B132" s="6"/>
      <c r="C132" s="8" t="s">
        <v>90</v>
      </c>
    </row>
    <row r="133" spans="1:3" ht="18.75" customHeight="1" x14ac:dyDescent="0.35">
      <c r="A133" s="3" t="s">
        <v>22</v>
      </c>
      <c r="B133" s="6"/>
      <c r="C133" s="8" t="s">
        <v>162</v>
      </c>
    </row>
    <row r="134" spans="1:3" ht="18.75" customHeight="1" x14ac:dyDescent="0.35">
      <c r="A134" s="3" t="s">
        <v>163</v>
      </c>
      <c r="B134" s="6"/>
      <c r="C134" s="8" t="s">
        <v>164</v>
      </c>
    </row>
    <row r="135" spans="1:3" ht="18.75" customHeight="1" x14ac:dyDescent="0.35">
      <c r="A135" s="3" t="s">
        <v>163</v>
      </c>
      <c r="B135" s="6"/>
      <c r="C135" s="8" t="s">
        <v>163</v>
      </c>
    </row>
    <row r="136" spans="1:3" ht="18.75" customHeight="1" x14ac:dyDescent="0.35">
      <c r="A136" s="3" t="s">
        <v>165</v>
      </c>
      <c r="B136" s="6"/>
      <c r="C136" s="8" t="s">
        <v>165</v>
      </c>
    </row>
    <row r="137" spans="1:3" ht="18.75" customHeight="1" x14ac:dyDescent="0.35">
      <c r="A137" s="3" t="s">
        <v>166</v>
      </c>
      <c r="B137" s="6"/>
      <c r="C137" s="8" t="s">
        <v>166</v>
      </c>
    </row>
    <row r="138" spans="1:3" ht="18.75" customHeight="1" x14ac:dyDescent="0.35">
      <c r="A138" s="3" t="s">
        <v>98</v>
      </c>
      <c r="B138" s="6"/>
      <c r="C138" s="8" t="s">
        <v>167</v>
      </c>
    </row>
    <row r="139" spans="1:3" ht="18.75" customHeight="1" x14ac:dyDescent="0.35">
      <c r="A139" s="3" t="s">
        <v>168</v>
      </c>
      <c r="B139" s="6"/>
      <c r="C139" s="8" t="s">
        <v>168</v>
      </c>
    </row>
    <row r="140" spans="1:3" ht="18.75" customHeight="1" x14ac:dyDescent="0.35">
      <c r="A140" s="3" t="s">
        <v>55</v>
      </c>
      <c r="B140" s="6"/>
      <c r="C140" s="8" t="s">
        <v>169</v>
      </c>
    </row>
    <row r="141" spans="1:3" ht="18.75" customHeight="1" x14ac:dyDescent="0.35">
      <c r="A141" s="3" t="s">
        <v>55</v>
      </c>
      <c r="B141" s="6"/>
      <c r="C141" s="8" t="s">
        <v>55</v>
      </c>
    </row>
    <row r="142" spans="1:3" ht="18.75" customHeight="1" x14ac:dyDescent="0.35">
      <c r="A142" s="3" t="s">
        <v>83</v>
      </c>
      <c r="B142" s="6"/>
      <c r="C142" s="8" t="s">
        <v>170</v>
      </c>
    </row>
    <row r="143" spans="1:3" ht="18.75" customHeight="1" x14ac:dyDescent="0.35">
      <c r="A143" s="3" t="s">
        <v>83</v>
      </c>
      <c r="B143" s="6"/>
      <c r="C143" s="8" t="s">
        <v>171</v>
      </c>
    </row>
    <row r="144" spans="1:3" ht="18.75" customHeight="1" x14ac:dyDescent="0.35">
      <c r="A144" s="3" t="s">
        <v>83</v>
      </c>
      <c r="B144" s="6"/>
      <c r="C144" s="8" t="s">
        <v>83</v>
      </c>
    </row>
    <row r="145" spans="1:3" ht="18.75" customHeight="1" x14ac:dyDescent="0.35">
      <c r="A145" s="3" t="s">
        <v>172</v>
      </c>
      <c r="B145" s="6"/>
      <c r="C145" s="8" t="s">
        <v>172</v>
      </c>
    </row>
    <row r="146" spans="1:3" ht="18.75" customHeight="1" x14ac:dyDescent="0.35">
      <c r="A146" s="3" t="s">
        <v>14</v>
      </c>
      <c r="B146" s="6"/>
      <c r="C146" s="8" t="s">
        <v>14</v>
      </c>
    </row>
    <row r="147" spans="1:3" ht="18.75" customHeight="1" x14ac:dyDescent="0.35">
      <c r="A147" s="3" t="s">
        <v>14</v>
      </c>
      <c r="B147" s="6"/>
      <c r="C147" s="8" t="s">
        <v>173</v>
      </c>
    </row>
    <row r="148" spans="1:3" ht="18.75" customHeight="1" x14ac:dyDescent="0.35">
      <c r="A148" s="3" t="s">
        <v>174</v>
      </c>
      <c r="B148" s="6"/>
      <c r="C148" s="8" t="s">
        <v>174</v>
      </c>
    </row>
    <row r="149" spans="1:3" ht="18.75" customHeight="1" x14ac:dyDescent="0.35">
      <c r="A149" s="3" t="s">
        <v>175</v>
      </c>
      <c r="B149" s="6"/>
      <c r="C149" s="8" t="s">
        <v>175</v>
      </c>
    </row>
    <row r="150" spans="1:3" ht="18.75" customHeight="1" x14ac:dyDescent="0.35">
      <c r="A150" s="3" t="s">
        <v>176</v>
      </c>
      <c r="B150" s="6"/>
      <c r="C150" s="8" t="s">
        <v>177</v>
      </c>
    </row>
    <row r="151" spans="1:3" ht="18.75" customHeight="1" x14ac:dyDescent="0.35">
      <c r="A151" s="3" t="s">
        <v>178</v>
      </c>
      <c r="B151" s="6"/>
      <c r="C151" s="8" t="s">
        <v>178</v>
      </c>
    </row>
    <row r="152" spans="1:3" ht="18.75" customHeight="1" x14ac:dyDescent="0.35">
      <c r="A152" s="3" t="s">
        <v>179</v>
      </c>
      <c r="B152" s="6"/>
      <c r="C152" s="8" t="s">
        <v>179</v>
      </c>
    </row>
    <row r="153" spans="1:3" ht="18.75" customHeight="1" x14ac:dyDescent="0.35">
      <c r="A153" s="3" t="s">
        <v>16</v>
      </c>
      <c r="B153" s="6"/>
      <c r="C153" s="8" t="s">
        <v>16</v>
      </c>
    </row>
    <row r="154" spans="1:3" ht="18.75" customHeight="1" x14ac:dyDescent="0.35">
      <c r="A154" s="3" t="s">
        <v>75</v>
      </c>
      <c r="B154" s="6"/>
      <c r="C154" s="8" t="s">
        <v>180</v>
      </c>
    </row>
    <row r="155" spans="1:3" ht="18.75" customHeight="1" x14ac:dyDescent="0.35">
      <c r="A155" s="3" t="s">
        <v>55</v>
      </c>
      <c r="B155" s="6"/>
      <c r="C155" s="8" t="s">
        <v>181</v>
      </c>
    </row>
    <row r="156" spans="1:3" ht="18.75" customHeight="1" x14ac:dyDescent="0.35">
      <c r="A156" s="3" t="s">
        <v>47</v>
      </c>
      <c r="B156" s="6"/>
      <c r="C156" s="8" t="s">
        <v>182</v>
      </c>
    </row>
    <row r="157" spans="1:3" ht="18.75" customHeight="1" x14ac:dyDescent="0.35">
      <c r="A157" s="3" t="s">
        <v>22</v>
      </c>
      <c r="B157" s="6"/>
      <c r="C157" s="8" t="s">
        <v>183</v>
      </c>
    </row>
    <row r="158" spans="1:3" ht="18.75" customHeight="1" x14ac:dyDescent="0.35">
      <c r="A158" s="3" t="s">
        <v>60</v>
      </c>
      <c r="B158" s="6"/>
      <c r="C158" s="8" t="s">
        <v>60</v>
      </c>
    </row>
    <row r="159" spans="1:3" ht="18.75" customHeight="1" x14ac:dyDescent="0.35">
      <c r="A159" s="3" t="s">
        <v>22</v>
      </c>
      <c r="B159" s="6"/>
      <c r="C159" s="8" t="s">
        <v>184</v>
      </c>
    </row>
    <row r="160" spans="1:3" ht="18.75" customHeight="1" x14ac:dyDescent="0.35">
      <c r="A160" s="3" t="s">
        <v>185</v>
      </c>
      <c r="B160" s="6"/>
      <c r="C160" s="8" t="s">
        <v>185</v>
      </c>
    </row>
    <row r="161" spans="1:3" ht="18.75" customHeight="1" x14ac:dyDescent="0.35">
      <c r="A161" s="3" t="s">
        <v>34</v>
      </c>
      <c r="B161" s="6"/>
      <c r="C161" s="8" t="s">
        <v>186</v>
      </c>
    </row>
    <row r="162" spans="1:3" ht="18.75" customHeight="1" x14ac:dyDescent="0.35">
      <c r="A162" s="3" t="s">
        <v>187</v>
      </c>
      <c r="B162" s="6"/>
      <c r="C162" s="8" t="s">
        <v>187</v>
      </c>
    </row>
    <row r="163" spans="1:3" ht="18.75" customHeight="1" x14ac:dyDescent="0.35">
      <c r="A163" s="3" t="s">
        <v>75</v>
      </c>
      <c r="B163" s="6"/>
      <c r="C163" s="8" t="s">
        <v>75</v>
      </c>
    </row>
    <row r="164" spans="1:3" ht="18.75" customHeight="1" x14ac:dyDescent="0.35">
      <c r="A164" s="3" t="s">
        <v>75</v>
      </c>
      <c r="B164" s="6"/>
      <c r="C164" s="8" t="s">
        <v>188</v>
      </c>
    </row>
    <row r="165" spans="1:3" ht="18.75" customHeight="1" x14ac:dyDescent="0.35">
      <c r="A165" s="3" t="s">
        <v>34</v>
      </c>
      <c r="B165" s="6"/>
      <c r="C165" s="8" t="s">
        <v>189</v>
      </c>
    </row>
    <row r="166" spans="1:3" ht="18.75" customHeight="1" x14ac:dyDescent="0.35">
      <c r="A166" s="3" t="s">
        <v>190</v>
      </c>
      <c r="B166" s="6"/>
      <c r="C166" s="8" t="s">
        <v>190</v>
      </c>
    </row>
    <row r="167" spans="1:3" ht="18.75" customHeight="1" x14ac:dyDescent="0.35">
      <c r="A167" s="3" t="s">
        <v>60</v>
      </c>
      <c r="B167" s="6"/>
      <c r="C167" s="8" t="s">
        <v>191</v>
      </c>
    </row>
    <row r="168" spans="1:3" ht="18.75" customHeight="1" x14ac:dyDescent="0.35">
      <c r="A168" s="3" t="s">
        <v>192</v>
      </c>
      <c r="B168" s="6"/>
      <c r="C168" s="8" t="s">
        <v>193</v>
      </c>
    </row>
    <row r="169" spans="1:3" ht="18.75" customHeight="1" x14ac:dyDescent="0.35">
      <c r="A169" s="3" t="s">
        <v>192</v>
      </c>
      <c r="B169" s="6"/>
      <c r="C169" s="8" t="s">
        <v>192</v>
      </c>
    </row>
    <row r="170" spans="1:3" ht="18.75" customHeight="1" x14ac:dyDescent="0.35">
      <c r="A170" s="3" t="s">
        <v>194</v>
      </c>
      <c r="B170" s="6"/>
      <c r="C170" s="8" t="s">
        <v>194</v>
      </c>
    </row>
    <row r="171" spans="1:3" ht="18.75" customHeight="1" x14ac:dyDescent="0.35">
      <c r="A171" s="3" t="s">
        <v>52</v>
      </c>
      <c r="B171" s="6"/>
      <c r="C171" s="8" t="s">
        <v>52</v>
      </c>
    </row>
    <row r="172" spans="1:3" ht="18.75" customHeight="1" x14ac:dyDescent="0.35">
      <c r="A172" s="3" t="s">
        <v>22</v>
      </c>
      <c r="B172" s="6"/>
      <c r="C172" s="8" t="s">
        <v>195</v>
      </c>
    </row>
    <row r="173" spans="1:3" ht="18.75" customHeight="1" x14ac:dyDescent="0.35">
      <c r="A173" s="3" t="s">
        <v>196</v>
      </c>
      <c r="B173" s="6"/>
      <c r="C173" s="8" t="s">
        <v>196</v>
      </c>
    </row>
    <row r="174" spans="1:3" ht="18.75" customHeight="1" x14ac:dyDescent="0.35">
      <c r="A174" s="3" t="s">
        <v>90</v>
      </c>
      <c r="B174" s="6"/>
      <c r="C174" s="8" t="s">
        <v>197</v>
      </c>
    </row>
    <row r="175" spans="1:3" ht="18.75" customHeight="1" x14ac:dyDescent="0.35">
      <c r="A175" s="3" t="s">
        <v>198</v>
      </c>
      <c r="B175" s="6"/>
      <c r="C175" s="8" t="s">
        <v>199</v>
      </c>
    </row>
    <row r="176" spans="1:3" ht="18.75" customHeight="1" x14ac:dyDescent="0.35">
      <c r="A176" s="3" t="s">
        <v>200</v>
      </c>
      <c r="B176" s="6"/>
      <c r="C176" s="8" t="s">
        <v>200</v>
      </c>
    </row>
    <row r="177" spans="1:3" ht="18.75" customHeight="1" x14ac:dyDescent="0.35">
      <c r="A177" s="3" t="s">
        <v>34</v>
      </c>
      <c r="B177" s="6"/>
      <c r="C177" s="8" t="s">
        <v>201</v>
      </c>
    </row>
    <row r="178" spans="1:3" ht="18.75" customHeight="1" x14ac:dyDescent="0.35">
      <c r="A178" s="3" t="s">
        <v>202</v>
      </c>
      <c r="B178" s="6"/>
      <c r="C178" s="8" t="s">
        <v>202</v>
      </c>
    </row>
    <row r="179" spans="1:3" ht="18.75" customHeight="1" x14ac:dyDescent="0.35">
      <c r="A179" s="3" t="s">
        <v>36</v>
      </c>
      <c r="B179" s="6"/>
      <c r="C179" s="8" t="s">
        <v>203</v>
      </c>
    </row>
    <row r="180" spans="1:3" ht="18.75" customHeight="1" x14ac:dyDescent="0.35">
      <c r="A180" s="3" t="s">
        <v>45</v>
      </c>
      <c r="B180" s="6"/>
      <c r="C180" s="8" t="s">
        <v>204</v>
      </c>
    </row>
    <row r="181" spans="1:3" ht="18.75" customHeight="1" x14ac:dyDescent="0.35">
      <c r="A181" s="3" t="s">
        <v>45</v>
      </c>
      <c r="B181" s="6"/>
      <c r="C181" s="8" t="s">
        <v>205</v>
      </c>
    </row>
    <row r="182" spans="1:3" ht="18.75" customHeight="1" x14ac:dyDescent="0.35">
      <c r="A182" s="3" t="s">
        <v>45</v>
      </c>
      <c r="B182" s="6"/>
      <c r="C182" s="8" t="s">
        <v>45</v>
      </c>
    </row>
    <row r="183" spans="1:3" ht="18.75" customHeight="1" x14ac:dyDescent="0.35">
      <c r="A183" s="3" t="s">
        <v>206</v>
      </c>
      <c r="B183" s="6"/>
      <c r="C183" s="8" t="s">
        <v>206</v>
      </c>
    </row>
    <row r="184" spans="1:3" ht="18.75" customHeight="1" x14ac:dyDescent="0.35">
      <c r="A184" s="3" t="s">
        <v>207</v>
      </c>
      <c r="B184" s="6"/>
      <c r="C184" s="8" t="s">
        <v>207</v>
      </c>
    </row>
    <row r="185" spans="1:3" ht="18.75" customHeight="1" x14ac:dyDescent="0.35">
      <c r="A185" s="3" t="s">
        <v>75</v>
      </c>
      <c r="B185" s="6"/>
      <c r="C185" s="8" t="s">
        <v>208</v>
      </c>
    </row>
    <row r="186" spans="1:3" ht="18.75" customHeight="1" x14ac:dyDescent="0.35">
      <c r="A186" s="3" t="s">
        <v>63</v>
      </c>
      <c r="B186" s="6"/>
      <c r="C186" s="8" t="s">
        <v>209</v>
      </c>
    </row>
    <row r="187" spans="1:3" ht="18.75" customHeight="1" x14ac:dyDescent="0.35">
      <c r="A187" s="3" t="s">
        <v>168</v>
      </c>
      <c r="B187" s="6"/>
      <c r="C187" s="8" t="s">
        <v>210</v>
      </c>
    </row>
    <row r="188" spans="1:3" ht="18.75" customHeight="1" x14ac:dyDescent="0.35">
      <c r="A188" s="3" t="s">
        <v>63</v>
      </c>
      <c r="B188" s="6"/>
      <c r="C188" s="8" t="s">
        <v>211</v>
      </c>
    </row>
    <row r="189" spans="1:3" ht="18.75" customHeight="1" x14ac:dyDescent="0.35">
      <c r="A189" s="3" t="s">
        <v>105</v>
      </c>
      <c r="B189" s="6"/>
      <c r="C189" s="8" t="s">
        <v>212</v>
      </c>
    </row>
    <row r="190" spans="1:3" ht="18.75" customHeight="1" x14ac:dyDescent="0.35">
      <c r="A190" s="3" t="s">
        <v>105</v>
      </c>
      <c r="B190" s="6"/>
      <c r="C190" s="8" t="s">
        <v>213</v>
      </c>
    </row>
    <row r="191" spans="1:3" ht="18.75" customHeight="1" x14ac:dyDescent="0.35">
      <c r="A191" s="3" t="s">
        <v>105</v>
      </c>
      <c r="B191" s="6"/>
      <c r="C191" s="8" t="s">
        <v>105</v>
      </c>
    </row>
    <row r="192" spans="1:3" ht="18.75" customHeight="1" x14ac:dyDescent="0.35">
      <c r="A192" s="3" t="s">
        <v>105</v>
      </c>
      <c r="B192" s="6"/>
      <c r="C192" s="8" t="s">
        <v>214</v>
      </c>
    </row>
    <row r="193" spans="1:3" ht="18.75" customHeight="1" x14ac:dyDescent="0.35">
      <c r="A193" s="3" t="s">
        <v>75</v>
      </c>
      <c r="B193" s="6"/>
      <c r="C193" s="8" t="s">
        <v>215</v>
      </c>
    </row>
    <row r="194" spans="1:3" ht="18.75" customHeight="1" x14ac:dyDescent="0.35">
      <c r="A194" s="3" t="s">
        <v>216</v>
      </c>
      <c r="B194" s="6"/>
      <c r="C194" s="8" t="s">
        <v>216</v>
      </c>
    </row>
    <row r="195" spans="1:3" ht="18.75" customHeight="1" x14ac:dyDescent="0.35">
      <c r="A195" s="3" t="s">
        <v>217</v>
      </c>
      <c r="B195" s="6"/>
      <c r="C195" s="8" t="s">
        <v>218</v>
      </c>
    </row>
    <row r="196" spans="1:3" ht="18.75" customHeight="1" x14ac:dyDescent="0.35">
      <c r="A196" s="3" t="s">
        <v>47</v>
      </c>
      <c r="B196" s="6"/>
      <c r="C196" s="8" t="s">
        <v>219</v>
      </c>
    </row>
    <row r="197" spans="1:3" ht="18.75" customHeight="1" x14ac:dyDescent="0.35">
      <c r="A197" s="3" t="s">
        <v>22</v>
      </c>
      <c r="B197" s="6"/>
      <c r="C197" s="8" t="s">
        <v>220</v>
      </c>
    </row>
    <row r="198" spans="1:3" ht="18.75" customHeight="1" x14ac:dyDescent="0.35">
      <c r="A198" s="3" t="s">
        <v>105</v>
      </c>
      <c r="B198" s="6"/>
      <c r="C198" s="8" t="s">
        <v>221</v>
      </c>
    </row>
    <row r="199" spans="1:3" ht="18.75" customHeight="1" x14ac:dyDescent="0.35">
      <c r="A199" s="3" t="s">
        <v>34</v>
      </c>
      <c r="B199" s="6"/>
      <c r="C199" s="8" t="s">
        <v>222</v>
      </c>
    </row>
    <row r="200" spans="1:3" ht="18.75" customHeight="1" x14ac:dyDescent="0.35">
      <c r="A200" s="3" t="s">
        <v>34</v>
      </c>
      <c r="B200" s="6"/>
      <c r="C200" s="8" t="s">
        <v>223</v>
      </c>
    </row>
    <row r="201" spans="1:3" ht="18.75" customHeight="1" x14ac:dyDescent="0.35">
      <c r="A201" s="3" t="s">
        <v>34</v>
      </c>
      <c r="B201" s="6"/>
      <c r="C201" s="8" t="s">
        <v>224</v>
      </c>
    </row>
    <row r="202" spans="1:3" ht="18.75" customHeight="1" x14ac:dyDescent="0.35">
      <c r="A202" s="3" t="s">
        <v>34</v>
      </c>
      <c r="B202" s="6"/>
      <c r="C202" s="8" t="s">
        <v>34</v>
      </c>
    </row>
    <row r="203" spans="1:3" ht="18.75" customHeight="1" x14ac:dyDescent="0.35">
      <c r="A203" s="3" t="s">
        <v>225</v>
      </c>
      <c r="B203" s="6"/>
      <c r="C203" s="8" t="s">
        <v>225</v>
      </c>
    </row>
    <row r="204" spans="1:3" ht="18.75" customHeight="1" x14ac:dyDescent="0.35">
      <c r="A204" s="3" t="s">
        <v>60</v>
      </c>
      <c r="B204" s="6"/>
      <c r="C204" s="8" t="s">
        <v>226</v>
      </c>
    </row>
    <row r="205" spans="1:3" ht="18.75" customHeight="1" x14ac:dyDescent="0.35">
      <c r="A205" s="3" t="s">
        <v>227</v>
      </c>
      <c r="B205" s="6"/>
      <c r="C205" s="8" t="s">
        <v>227</v>
      </c>
    </row>
    <row r="206" spans="1:3" ht="18.75" customHeight="1" x14ac:dyDescent="0.35">
      <c r="A206" s="3" t="s">
        <v>228</v>
      </c>
      <c r="B206" s="6"/>
      <c r="C206" s="8" t="s">
        <v>228</v>
      </c>
    </row>
    <row r="207" spans="1:3" ht="18.75" customHeight="1" x14ac:dyDescent="0.35">
      <c r="A207" s="3" t="s">
        <v>34</v>
      </c>
      <c r="B207" s="6"/>
      <c r="C207" s="8" t="s">
        <v>229</v>
      </c>
    </row>
    <row r="208" spans="1:3" ht="18.75" customHeight="1" x14ac:dyDescent="0.35">
      <c r="A208" s="3" t="s">
        <v>230</v>
      </c>
      <c r="B208" s="6"/>
      <c r="C208" s="8" t="s">
        <v>230</v>
      </c>
    </row>
    <row r="209" spans="1:3" ht="18.75" customHeight="1" x14ac:dyDescent="0.35">
      <c r="A209" s="3" t="s">
        <v>231</v>
      </c>
      <c r="B209" s="6"/>
      <c r="C209" s="8" t="s">
        <v>231</v>
      </c>
    </row>
    <row r="210" spans="1:3" ht="18.75" customHeight="1" x14ac:dyDescent="0.35">
      <c r="A210" s="3" t="s">
        <v>83</v>
      </c>
      <c r="B210" s="6"/>
      <c r="C210" s="8" t="s">
        <v>232</v>
      </c>
    </row>
    <row r="211" spans="1:3" ht="18.75" customHeight="1" x14ac:dyDescent="0.35">
      <c r="A211" s="3" t="s">
        <v>233</v>
      </c>
      <c r="B211" s="6"/>
      <c r="C211" s="8" t="s">
        <v>233</v>
      </c>
    </row>
    <row r="212" spans="1:3" ht="18.75" customHeight="1" x14ac:dyDescent="0.35">
      <c r="A212" s="3" t="s">
        <v>24</v>
      </c>
      <c r="B212" s="6"/>
      <c r="C212" s="8" t="s">
        <v>24</v>
      </c>
    </row>
    <row r="213" spans="1:3" ht="18.75" customHeight="1" x14ac:dyDescent="0.35">
      <c r="A213" s="3" t="s">
        <v>234</v>
      </c>
      <c r="B213" s="6"/>
      <c r="C213" s="8" t="s">
        <v>235</v>
      </c>
    </row>
    <row r="214" spans="1:3" ht="18.75" customHeight="1" x14ac:dyDescent="0.35">
      <c r="A214" s="3" t="s">
        <v>34</v>
      </c>
      <c r="B214" s="6"/>
      <c r="C214" s="8" t="s">
        <v>236</v>
      </c>
    </row>
    <row r="215" spans="1:3" ht="18.75" customHeight="1" x14ac:dyDescent="0.35">
      <c r="A215" s="3" t="s">
        <v>24</v>
      </c>
      <c r="B215" s="6"/>
      <c r="C215" s="8" t="s">
        <v>237</v>
      </c>
    </row>
    <row r="216" spans="1:3" ht="18.75" customHeight="1" x14ac:dyDescent="0.35">
      <c r="A216" s="3" t="s">
        <v>28</v>
      </c>
      <c r="B216" s="6"/>
      <c r="C216" s="8" t="s">
        <v>238</v>
      </c>
    </row>
    <row r="217" spans="1:3" ht="18.75" customHeight="1" x14ac:dyDescent="0.35">
      <c r="A217" s="3" t="s">
        <v>14</v>
      </c>
      <c r="B217" s="6"/>
      <c r="C217" s="8" t="s">
        <v>239</v>
      </c>
    </row>
    <row r="218" spans="1:3" ht="18.75" customHeight="1" x14ac:dyDescent="0.35">
      <c r="A218" s="3" t="s">
        <v>22</v>
      </c>
      <c r="B218" s="6"/>
      <c r="C218" s="8" t="s">
        <v>240</v>
      </c>
    </row>
    <row r="219" spans="1:3" ht="18.75" customHeight="1" x14ac:dyDescent="0.35">
      <c r="A219" s="3" t="s">
        <v>34</v>
      </c>
      <c r="B219" s="6"/>
      <c r="C219" s="8" t="s">
        <v>241</v>
      </c>
    </row>
    <row r="220" spans="1:3" ht="18.75" customHeight="1" x14ac:dyDescent="0.35">
      <c r="A220" s="3" t="s">
        <v>121</v>
      </c>
      <c r="B220" s="6"/>
      <c r="C220" s="8" t="s">
        <v>242</v>
      </c>
    </row>
    <row r="221" spans="1:3" ht="18.75" customHeight="1" x14ac:dyDescent="0.35">
      <c r="A221" s="3" t="s">
        <v>121</v>
      </c>
      <c r="B221" s="6"/>
      <c r="C221" s="8" t="s">
        <v>243</v>
      </c>
    </row>
    <row r="222" spans="1:3" ht="18.75" customHeight="1" x14ac:dyDescent="0.35">
      <c r="A222" s="3" t="s">
        <v>83</v>
      </c>
      <c r="B222" s="6"/>
      <c r="C222" s="8" t="s">
        <v>244</v>
      </c>
    </row>
    <row r="223" spans="1:3" ht="18.75" customHeight="1" x14ac:dyDescent="0.35">
      <c r="A223" s="3" t="s">
        <v>245</v>
      </c>
      <c r="B223" s="6"/>
      <c r="C223" s="8" t="s">
        <v>245</v>
      </c>
    </row>
    <row r="224" spans="1:3" ht="18.75" customHeight="1" x14ac:dyDescent="0.35">
      <c r="A224" s="3" t="s">
        <v>22</v>
      </c>
      <c r="B224" s="6"/>
      <c r="C224" s="8" t="s">
        <v>246</v>
      </c>
    </row>
    <row r="225" spans="1:3" ht="18.75" customHeight="1" x14ac:dyDescent="0.35">
      <c r="A225" s="3" t="s">
        <v>22</v>
      </c>
      <c r="B225" s="6"/>
      <c r="C225" s="8" t="s">
        <v>247</v>
      </c>
    </row>
    <row r="226" spans="1:3" ht="18.75" customHeight="1" x14ac:dyDescent="0.35">
      <c r="A226" s="3" t="s">
        <v>34</v>
      </c>
      <c r="B226" s="6"/>
      <c r="C226" s="8" t="s">
        <v>248</v>
      </c>
    </row>
    <row r="227" spans="1:3" ht="18.75" customHeight="1" x14ac:dyDescent="0.35">
      <c r="A227" s="3" t="s">
        <v>34</v>
      </c>
      <c r="B227" s="6"/>
      <c r="C227" s="8" t="s">
        <v>249</v>
      </c>
    </row>
    <row r="228" spans="1:3" ht="18.75" customHeight="1" x14ac:dyDescent="0.35">
      <c r="A228" s="3" t="s">
        <v>22</v>
      </c>
      <c r="B228" s="6"/>
      <c r="C228" s="8" t="s">
        <v>250</v>
      </c>
    </row>
    <row r="229" spans="1:3" ht="18.75" customHeight="1" x14ac:dyDescent="0.35">
      <c r="A229" s="3" t="s">
        <v>251</v>
      </c>
      <c r="B229" s="6"/>
      <c r="C229" s="8" t="s">
        <v>251</v>
      </c>
    </row>
    <row r="230" spans="1:3" ht="18.75" customHeight="1" x14ac:dyDescent="0.35">
      <c r="A230" s="3" t="s">
        <v>75</v>
      </c>
      <c r="B230" s="6"/>
      <c r="C230" s="8" t="s">
        <v>252</v>
      </c>
    </row>
    <row r="231" spans="1:3" ht="18.75" customHeight="1" x14ac:dyDescent="0.35">
      <c r="A231" s="3" t="s">
        <v>34</v>
      </c>
      <c r="B231" s="6"/>
      <c r="C231" s="8" t="s">
        <v>253</v>
      </c>
    </row>
    <row r="232" spans="1:3" ht="18.75" customHeight="1" x14ac:dyDescent="0.35">
      <c r="A232" s="3" t="s">
        <v>254</v>
      </c>
      <c r="B232" s="6"/>
      <c r="C232" s="8" t="s">
        <v>255</v>
      </c>
    </row>
    <row r="233" spans="1:3" ht="18.75" customHeight="1" x14ac:dyDescent="0.35">
      <c r="A233" s="3" t="s">
        <v>254</v>
      </c>
      <c r="B233" s="6"/>
      <c r="C233" s="8" t="s">
        <v>256</v>
      </c>
    </row>
    <row r="234" spans="1:3" ht="18.75" customHeight="1" x14ac:dyDescent="0.35">
      <c r="A234" s="3" t="s">
        <v>254</v>
      </c>
      <c r="B234" s="6"/>
      <c r="C234" s="8" t="s">
        <v>254</v>
      </c>
    </row>
    <row r="235" spans="1:3" ht="18.75" customHeight="1" x14ac:dyDescent="0.35">
      <c r="A235" s="3" t="s">
        <v>257</v>
      </c>
      <c r="B235" s="6"/>
      <c r="C235" s="8" t="s">
        <v>257</v>
      </c>
    </row>
    <row r="236" spans="1:3" ht="18.75" customHeight="1" x14ac:dyDescent="0.35">
      <c r="A236" s="3" t="s">
        <v>77</v>
      </c>
      <c r="B236" s="6"/>
      <c r="C236" s="8" t="s">
        <v>258</v>
      </c>
    </row>
    <row r="237" spans="1:3" ht="18.75" customHeight="1" x14ac:dyDescent="0.35">
      <c r="A237" s="3" t="s">
        <v>259</v>
      </c>
      <c r="B237" s="6"/>
      <c r="C237" s="8" t="s">
        <v>259</v>
      </c>
    </row>
    <row r="238" spans="1:3" ht="18.75" customHeight="1" x14ac:dyDescent="0.35">
      <c r="A238" s="3" t="s">
        <v>28</v>
      </c>
      <c r="B238" s="6"/>
      <c r="C238" s="8" t="s">
        <v>260</v>
      </c>
    </row>
    <row r="239" spans="1:3" ht="18.75" customHeight="1" x14ac:dyDescent="0.35">
      <c r="A239" s="3" t="s">
        <v>75</v>
      </c>
      <c r="B239" s="6"/>
      <c r="C239" s="8" t="s">
        <v>261</v>
      </c>
    </row>
    <row r="240" spans="1:3" ht="18.75" customHeight="1" x14ac:dyDescent="0.35">
      <c r="A240" s="3" t="s">
        <v>234</v>
      </c>
      <c r="B240" s="6"/>
      <c r="C240" s="8" t="s">
        <v>234</v>
      </c>
    </row>
    <row r="241" spans="1:3" ht="18.75" customHeight="1" x14ac:dyDescent="0.35">
      <c r="A241" s="3" t="s">
        <v>34</v>
      </c>
      <c r="B241" s="6"/>
      <c r="C241" s="8" t="s">
        <v>262</v>
      </c>
    </row>
    <row r="242" spans="1:3" ht="18.75" customHeight="1" x14ac:dyDescent="0.35">
      <c r="A242" s="3" t="s">
        <v>34</v>
      </c>
      <c r="B242" s="6"/>
      <c r="C242" s="8" t="s">
        <v>263</v>
      </c>
    </row>
    <row r="243" spans="1:3" ht="18.75" customHeight="1" x14ac:dyDescent="0.35">
      <c r="A243" s="3" t="s">
        <v>34</v>
      </c>
      <c r="B243" s="6"/>
      <c r="C243" s="8" t="s">
        <v>264</v>
      </c>
    </row>
    <row r="244" spans="1:3" ht="18.75" customHeight="1" x14ac:dyDescent="0.35">
      <c r="A244" s="3" t="s">
        <v>22</v>
      </c>
      <c r="B244" s="6"/>
      <c r="C244" s="8" t="s">
        <v>265</v>
      </c>
    </row>
    <row r="245" spans="1:3" ht="18.75" customHeight="1" x14ac:dyDescent="0.35">
      <c r="A245" s="3" t="s">
        <v>24</v>
      </c>
      <c r="B245" s="6"/>
      <c r="C245" s="8" t="s">
        <v>266</v>
      </c>
    </row>
    <row r="246" spans="1:3" ht="18.75" customHeight="1" x14ac:dyDescent="0.35">
      <c r="A246" s="3" t="s">
        <v>34</v>
      </c>
      <c r="B246" s="6"/>
      <c r="C246" s="8" t="s">
        <v>267</v>
      </c>
    </row>
    <row r="247" spans="1:3" ht="18.75" customHeight="1" x14ac:dyDescent="0.35">
      <c r="A247" s="3" t="s">
        <v>121</v>
      </c>
      <c r="B247" s="6"/>
      <c r="C247" s="8" t="s">
        <v>121</v>
      </c>
    </row>
    <row r="248" spans="1:3" ht="18.75" customHeight="1" x14ac:dyDescent="0.35">
      <c r="A248" s="3" t="s">
        <v>268</v>
      </c>
      <c r="B248" s="6"/>
      <c r="C248" s="8" t="s">
        <v>268</v>
      </c>
    </row>
    <row r="249" spans="1:3" ht="18.75" customHeight="1" x14ac:dyDescent="0.35">
      <c r="A249" s="3" t="s">
        <v>75</v>
      </c>
      <c r="B249" s="6"/>
      <c r="C249" s="8" t="s">
        <v>269</v>
      </c>
    </row>
    <row r="250" spans="1:3" ht="18.75" customHeight="1" x14ac:dyDescent="0.35">
      <c r="A250" s="3" t="s">
        <v>75</v>
      </c>
      <c r="B250" s="6"/>
      <c r="C250" s="8" t="s">
        <v>271</v>
      </c>
    </row>
    <row r="251" spans="1:3" ht="18.75" customHeight="1" x14ac:dyDescent="0.35">
      <c r="A251" s="3" t="s">
        <v>268</v>
      </c>
      <c r="B251" s="6"/>
      <c r="C251" s="8" t="s">
        <v>272</v>
      </c>
    </row>
    <row r="252" spans="1:3" ht="18.75" customHeight="1" x14ac:dyDescent="0.35">
      <c r="A252" s="3" t="s">
        <v>55</v>
      </c>
      <c r="B252" s="6"/>
      <c r="C252" s="8" t="s">
        <v>273</v>
      </c>
    </row>
    <row r="253" spans="1:3" ht="18.75" customHeight="1" x14ac:dyDescent="0.35">
      <c r="A253" s="3" t="s">
        <v>28</v>
      </c>
      <c r="B253" s="6"/>
      <c r="C253" s="8" t="s">
        <v>274</v>
      </c>
    </row>
    <row r="254" spans="1:3" ht="18.75" customHeight="1" x14ac:dyDescent="0.35">
      <c r="A254" s="3" t="s">
        <v>22</v>
      </c>
      <c r="B254" s="6"/>
      <c r="C254" s="8" t="s">
        <v>275</v>
      </c>
    </row>
    <row r="255" spans="1:3" ht="18.75" customHeight="1" x14ac:dyDescent="0.35">
      <c r="A255" s="3" t="s">
        <v>83</v>
      </c>
      <c r="B255" s="6"/>
      <c r="C255" s="8" t="s">
        <v>276</v>
      </c>
    </row>
    <row r="256" spans="1:3" ht="18.75" customHeight="1" x14ac:dyDescent="0.35">
      <c r="A256" s="3" t="s">
        <v>254</v>
      </c>
      <c r="B256" s="6"/>
      <c r="C256" s="8" t="s">
        <v>277</v>
      </c>
    </row>
    <row r="257" spans="1:3" ht="18.75" customHeight="1" x14ac:dyDescent="0.35">
      <c r="A257" s="3" t="s">
        <v>278</v>
      </c>
      <c r="B257" s="6"/>
      <c r="C257" s="8" t="s">
        <v>279</v>
      </c>
    </row>
    <row r="258" spans="1:3" ht="18.75" customHeight="1" x14ac:dyDescent="0.35">
      <c r="A258" s="3" t="s">
        <v>22</v>
      </c>
      <c r="B258" s="6"/>
      <c r="C258" s="8" t="s">
        <v>280</v>
      </c>
    </row>
    <row r="259" spans="1:3" ht="18.75" customHeight="1" x14ac:dyDescent="0.35">
      <c r="A259" s="3" t="s">
        <v>34</v>
      </c>
      <c r="B259" s="6"/>
      <c r="C259" s="8" t="s">
        <v>281</v>
      </c>
    </row>
    <row r="260" spans="1:3" ht="18.75" customHeight="1" x14ac:dyDescent="0.35">
      <c r="A260" s="3" t="s">
        <v>282</v>
      </c>
      <c r="B260" s="6"/>
      <c r="C260" s="8" t="s">
        <v>282</v>
      </c>
    </row>
    <row r="261" spans="1:3" ht="18.75" customHeight="1" x14ac:dyDescent="0.35">
      <c r="A261" s="3" t="s">
        <v>60</v>
      </c>
      <c r="B261" s="6"/>
      <c r="C261" s="8" t="s">
        <v>283</v>
      </c>
    </row>
    <row r="262" spans="1:3" ht="18.75" customHeight="1" x14ac:dyDescent="0.35">
      <c r="A262" s="3" t="s">
        <v>168</v>
      </c>
      <c r="B262" s="6"/>
      <c r="C262" s="8" t="s">
        <v>284</v>
      </c>
    </row>
    <row r="263" spans="1:3" ht="18.75" customHeight="1" x14ac:dyDescent="0.35">
      <c r="A263" s="3" t="s">
        <v>22</v>
      </c>
      <c r="B263" s="6"/>
      <c r="C263" s="8" t="s">
        <v>285</v>
      </c>
    </row>
    <row r="264" spans="1:3" ht="18.75" customHeight="1" x14ac:dyDescent="0.35">
      <c r="A264" s="3" t="s">
        <v>31</v>
      </c>
      <c r="B264" s="6"/>
      <c r="C264" s="8" t="s">
        <v>31</v>
      </c>
    </row>
    <row r="265" spans="1:3" ht="18.75" customHeight="1" x14ac:dyDescent="0.35">
      <c r="A265" s="3" t="s">
        <v>63</v>
      </c>
      <c r="B265" s="6"/>
      <c r="C265" s="8" t="s">
        <v>286</v>
      </c>
    </row>
    <row r="266" spans="1:3" ht="18.75" customHeight="1" x14ac:dyDescent="0.35">
      <c r="A266" s="3" t="s">
        <v>14</v>
      </c>
      <c r="B266" s="6"/>
      <c r="C266" s="8" t="s">
        <v>287</v>
      </c>
    </row>
    <row r="267" spans="1:3" ht="18.75" customHeight="1" x14ac:dyDescent="0.35">
      <c r="A267" s="3" t="s">
        <v>75</v>
      </c>
      <c r="B267" s="6"/>
      <c r="C267" s="8" t="s">
        <v>288</v>
      </c>
    </row>
    <row r="268" spans="1:3" ht="18.75" customHeight="1" x14ac:dyDescent="0.35">
      <c r="A268" s="3" t="s">
        <v>75</v>
      </c>
      <c r="B268" s="6"/>
      <c r="C268" s="8" t="s">
        <v>289</v>
      </c>
    </row>
    <row r="269" spans="1:3" ht="18.75" customHeight="1" x14ac:dyDescent="0.35">
      <c r="A269" s="3" t="s">
        <v>28</v>
      </c>
      <c r="B269" s="6"/>
      <c r="C269" s="8" t="s">
        <v>28</v>
      </c>
    </row>
    <row r="270" spans="1:3" ht="18.75" customHeight="1" x14ac:dyDescent="0.35">
      <c r="A270" s="3" t="s">
        <v>34</v>
      </c>
      <c r="B270" s="6"/>
      <c r="C270" s="8" t="s">
        <v>290</v>
      </c>
    </row>
    <row r="271" spans="1:3" ht="18.75" customHeight="1" x14ac:dyDescent="0.35">
      <c r="A271" s="3" t="s">
        <v>22</v>
      </c>
      <c r="B271" s="6"/>
      <c r="C271" s="8" t="s">
        <v>291</v>
      </c>
    </row>
    <row r="272" spans="1:3" ht="18.75" customHeight="1" x14ac:dyDescent="0.35">
      <c r="A272" s="3" t="s">
        <v>22</v>
      </c>
      <c r="B272" s="6"/>
      <c r="C272" s="8" t="s">
        <v>22</v>
      </c>
    </row>
    <row r="273" spans="1:3" ht="18.75" customHeight="1" x14ac:dyDescent="0.35">
      <c r="A273" s="3" t="s">
        <v>34</v>
      </c>
      <c r="B273" s="6"/>
      <c r="C273" s="8" t="s">
        <v>292</v>
      </c>
    </row>
    <row r="274" spans="1:3" ht="18.75" customHeight="1" x14ac:dyDescent="0.35">
      <c r="A274" s="3" t="s">
        <v>22</v>
      </c>
      <c r="B274" s="6"/>
      <c r="C274" s="8" t="s">
        <v>293</v>
      </c>
    </row>
    <row r="275" spans="1:3" ht="18.75" customHeight="1" x14ac:dyDescent="0.35">
      <c r="A275" s="3" t="s">
        <v>66</v>
      </c>
      <c r="B275" s="6"/>
      <c r="C275" s="8" t="s">
        <v>66</v>
      </c>
    </row>
    <row r="276" spans="1:3" ht="18.75" customHeight="1" x14ac:dyDescent="0.35">
      <c r="A276" s="3" t="s">
        <v>34</v>
      </c>
      <c r="B276" s="6"/>
      <c r="C276" s="8" t="s">
        <v>294</v>
      </c>
    </row>
    <row r="277" spans="1:3" ht="18.75" customHeight="1" x14ac:dyDescent="0.35">
      <c r="A277" s="3" t="s">
        <v>34</v>
      </c>
      <c r="B277" s="6"/>
      <c r="C277" s="8" t="s">
        <v>295</v>
      </c>
    </row>
    <row r="278" spans="1:3" ht="18.75" customHeight="1" x14ac:dyDescent="0.35">
      <c r="A278" s="3" t="s">
        <v>22</v>
      </c>
      <c r="B278" s="6"/>
      <c r="C278" s="8" t="s">
        <v>296</v>
      </c>
    </row>
    <row r="279" spans="1:3" ht="18.75" customHeight="1" x14ac:dyDescent="0.35">
      <c r="A279" s="3" t="s">
        <v>22</v>
      </c>
      <c r="B279" s="6"/>
      <c r="C279" s="8" t="s">
        <v>297</v>
      </c>
    </row>
    <row r="280" spans="1:3" ht="18.75" customHeight="1" x14ac:dyDescent="0.35">
      <c r="A280" s="3" t="s">
        <v>14</v>
      </c>
      <c r="B280" s="6"/>
      <c r="C280" s="8" t="s">
        <v>298</v>
      </c>
    </row>
    <row r="281" spans="1:3" ht="18.75" customHeight="1" x14ac:dyDescent="0.35">
      <c r="A281" s="3" t="s">
        <v>28</v>
      </c>
      <c r="B281" s="6"/>
      <c r="C281" s="8" t="s">
        <v>299</v>
      </c>
    </row>
    <row r="282" spans="1:3" ht="18.75" customHeight="1" x14ac:dyDescent="0.35">
      <c r="A282" s="3" t="s">
        <v>28</v>
      </c>
      <c r="B282" s="6"/>
      <c r="C282" s="8" t="s">
        <v>300</v>
      </c>
    </row>
    <row r="283" spans="1:3" ht="18.75" customHeight="1" x14ac:dyDescent="0.35">
      <c r="A283" s="3" t="s">
        <v>24</v>
      </c>
      <c r="B283" s="6"/>
      <c r="C283" s="8" t="s">
        <v>301</v>
      </c>
    </row>
    <row r="284" spans="1:3" ht="18.75" customHeight="1" x14ac:dyDescent="0.35"/>
  </sheetData>
  <sheetProtection algorithmName="SHA-512" hashValue="us+Z5Se5QMfhRZwHkjJSgjSOjmMd0odrKVBJByStmxQitNoquG32pB6EpwcRZke0BF1aBCfZkg3PkM4v7aqExA==" saltValue="XYTN4WWICcUP1OwpySbLdg==" spinCount="100000" sheet="1" sort="0" autoFilter="0" pivotTables="0"/>
  <autoFilter ref="A3:I3" xr:uid="{7E3EBE48-323E-4C7F-A22E-32EFB174D8F4}"/>
  <mergeCells count="1">
    <mergeCell ref="A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1F557-A0B6-4832-AB03-5B630AADA5CE}">
  <sheetPr codeName="Sheet21"/>
  <dimension ref="A1:D290"/>
  <sheetViews>
    <sheetView workbookViewId="0">
      <selection activeCell="A2" sqref="A2"/>
    </sheetView>
  </sheetViews>
  <sheetFormatPr defaultColWidth="9.109375" defaultRowHeight="18" x14ac:dyDescent="0.35"/>
  <cols>
    <col min="1" max="1" width="22.88671875" style="3" customWidth="1"/>
    <col min="2" max="2" width="46.33203125" style="3" customWidth="1"/>
    <col min="3" max="3" width="23.33203125" style="3" customWidth="1"/>
    <col min="4" max="5" width="21" style="3" customWidth="1"/>
    <col min="6" max="16384" width="9.109375" style="3"/>
  </cols>
  <sheetData>
    <row r="1" spans="1:4" ht="22.8" x14ac:dyDescent="0.4">
      <c r="A1" s="57" t="s">
        <v>421</v>
      </c>
      <c r="B1" s="57"/>
      <c r="C1" s="5">
        <v>2023</v>
      </c>
      <c r="D1" s="5"/>
    </row>
    <row r="2" spans="1:4" x14ac:dyDescent="0.35">
      <c r="A2" s="44"/>
      <c r="B2" s="11"/>
      <c r="C2" s="18" t="s">
        <v>308</v>
      </c>
      <c r="D2" s="11"/>
    </row>
    <row r="3" spans="1:4" ht="47.25" customHeight="1" x14ac:dyDescent="0.35">
      <c r="A3" s="11" t="s">
        <v>3</v>
      </c>
      <c r="B3" s="11" t="s">
        <v>4</v>
      </c>
      <c r="C3" s="18" t="s">
        <v>311</v>
      </c>
      <c r="D3" s="15" t="s">
        <v>13</v>
      </c>
    </row>
    <row r="4" spans="1:4" ht="18.75" customHeight="1" x14ac:dyDescent="0.35">
      <c r="A4" s="8" t="s">
        <v>58</v>
      </c>
      <c r="B4" s="3" t="s">
        <v>58</v>
      </c>
      <c r="C4" s="10">
        <v>1556250</v>
      </c>
      <c r="D4" s="7">
        <f t="shared" ref="D4:D16" si="0">SUM(C4:C4)</f>
        <v>1556250</v>
      </c>
    </row>
    <row r="5" spans="1:4" ht="18.75" customHeight="1" x14ac:dyDescent="0.35">
      <c r="A5" s="8" t="s">
        <v>42</v>
      </c>
      <c r="B5" s="3" t="s">
        <v>42</v>
      </c>
      <c r="C5" s="10">
        <v>562500</v>
      </c>
      <c r="D5" s="7">
        <f t="shared" si="0"/>
        <v>562500</v>
      </c>
    </row>
    <row r="6" spans="1:4" ht="18.75" customHeight="1" x14ac:dyDescent="0.35">
      <c r="A6" s="3" t="s">
        <v>22</v>
      </c>
      <c r="B6" s="3" t="s">
        <v>70</v>
      </c>
      <c r="C6" s="10">
        <v>17634.915000000001</v>
      </c>
      <c r="D6" s="7">
        <f t="shared" si="0"/>
        <v>17634.915000000001</v>
      </c>
    </row>
    <row r="7" spans="1:4" ht="18.75" customHeight="1" x14ac:dyDescent="0.35">
      <c r="A7" s="3" t="s">
        <v>75</v>
      </c>
      <c r="B7" s="3" t="s">
        <v>80</v>
      </c>
      <c r="C7" s="10">
        <v>187500</v>
      </c>
      <c r="D7" s="7">
        <f t="shared" si="0"/>
        <v>187500</v>
      </c>
    </row>
    <row r="8" spans="1:4" ht="18.75" customHeight="1" x14ac:dyDescent="0.35">
      <c r="A8" s="8" t="s">
        <v>92</v>
      </c>
      <c r="B8" s="3" t="s">
        <v>92</v>
      </c>
      <c r="C8" s="10">
        <v>1556250</v>
      </c>
      <c r="D8" s="7">
        <f t="shared" si="0"/>
        <v>1556250</v>
      </c>
    </row>
    <row r="9" spans="1:4" ht="18.75" customHeight="1" x14ac:dyDescent="0.35">
      <c r="A9" s="3" t="s">
        <v>22</v>
      </c>
      <c r="B9" s="3" t="s">
        <v>159</v>
      </c>
      <c r="C9" s="10">
        <v>2708.2725</v>
      </c>
      <c r="D9" s="7">
        <f t="shared" si="0"/>
        <v>2708.2725</v>
      </c>
    </row>
    <row r="10" spans="1:4" ht="18.75" customHeight="1" x14ac:dyDescent="0.35">
      <c r="A10" s="8" t="s">
        <v>83</v>
      </c>
      <c r="B10" s="3" t="s">
        <v>83</v>
      </c>
      <c r="C10" s="10">
        <v>1556250</v>
      </c>
      <c r="D10" s="7">
        <f t="shared" si="0"/>
        <v>1556250</v>
      </c>
    </row>
    <row r="11" spans="1:4" ht="18.75" customHeight="1" x14ac:dyDescent="0.35">
      <c r="A11" s="3" t="s">
        <v>22</v>
      </c>
      <c r="B11" s="3" t="s">
        <v>184</v>
      </c>
      <c r="C11" s="10">
        <v>29976.629999999997</v>
      </c>
      <c r="D11" s="7">
        <f t="shared" si="0"/>
        <v>29976.629999999997</v>
      </c>
    </row>
    <row r="12" spans="1:4" ht="18.75" customHeight="1" x14ac:dyDescent="0.35">
      <c r="A12" s="3" t="s">
        <v>22</v>
      </c>
      <c r="B12" s="3" t="s">
        <v>220</v>
      </c>
      <c r="C12" s="10">
        <v>6272.7750000000005</v>
      </c>
      <c r="D12" s="7">
        <f t="shared" si="0"/>
        <v>6272.7750000000005</v>
      </c>
    </row>
    <row r="13" spans="1:4" ht="18.75" customHeight="1" x14ac:dyDescent="0.35">
      <c r="A13" s="3" t="s">
        <v>28</v>
      </c>
      <c r="B13" s="3" t="s">
        <v>238</v>
      </c>
      <c r="C13" s="10">
        <v>562500</v>
      </c>
      <c r="D13" s="7">
        <f t="shared" si="0"/>
        <v>562500</v>
      </c>
    </row>
    <row r="14" spans="1:4" ht="18.75" customHeight="1" x14ac:dyDescent="0.35">
      <c r="A14" s="3" t="s">
        <v>22</v>
      </c>
      <c r="B14" s="3" t="s">
        <v>250</v>
      </c>
      <c r="C14" s="10">
        <v>6979.7025000000003</v>
      </c>
      <c r="D14" s="7">
        <f t="shared" si="0"/>
        <v>6979.7025000000003</v>
      </c>
    </row>
    <row r="15" spans="1:4" ht="18.75" customHeight="1" x14ac:dyDescent="0.35">
      <c r="A15" s="3" t="s">
        <v>22</v>
      </c>
      <c r="B15" s="3" t="s">
        <v>285</v>
      </c>
      <c r="C15" s="10">
        <v>5147.79</v>
      </c>
      <c r="D15" s="7">
        <f t="shared" si="0"/>
        <v>5147.79</v>
      </c>
    </row>
    <row r="16" spans="1:4" ht="18.75" customHeight="1" x14ac:dyDescent="0.35">
      <c r="A16" s="3" t="s">
        <v>22</v>
      </c>
      <c r="B16" s="3" t="s">
        <v>291</v>
      </c>
      <c r="C16" s="10">
        <v>6279.9149999999991</v>
      </c>
      <c r="D16" s="7">
        <f t="shared" si="0"/>
        <v>6279.9149999999991</v>
      </c>
    </row>
    <row r="17" spans="1:4" ht="18.75" customHeight="1" x14ac:dyDescent="0.35">
      <c r="B17" s="59"/>
      <c r="C17" s="59" t="s">
        <v>13</v>
      </c>
      <c r="D17" s="7">
        <f>SUM(D4:D16)</f>
        <v>6056250</v>
      </c>
    </row>
    <row r="18" spans="1:4" ht="18.75" customHeight="1" x14ac:dyDescent="0.35">
      <c r="B18" s="8"/>
    </row>
    <row r="19" spans="1:4" ht="18.75" customHeight="1" x14ac:dyDescent="0.35">
      <c r="A19" s="55"/>
      <c r="B19" s="56"/>
      <c r="C19" s="56"/>
      <c r="D19" s="56"/>
    </row>
    <row r="20" spans="1:4" ht="18.75" customHeight="1" x14ac:dyDescent="0.35">
      <c r="A20" s="56"/>
      <c r="B20" s="56"/>
      <c r="C20" s="56"/>
      <c r="D20" s="56"/>
    </row>
    <row r="21" spans="1:4" ht="18.75" customHeight="1" x14ac:dyDescent="0.35">
      <c r="B21" s="8"/>
    </row>
    <row r="22" spans="1:4" ht="18.75" customHeight="1" x14ac:dyDescent="0.35">
      <c r="B22" s="8"/>
    </row>
    <row r="23" spans="1:4" ht="18.75" customHeight="1" x14ac:dyDescent="0.35">
      <c r="B23" s="8"/>
    </row>
    <row r="24" spans="1:4" ht="18.75" customHeight="1" x14ac:dyDescent="0.35">
      <c r="B24" s="8"/>
    </row>
    <row r="25" spans="1:4" ht="18.75" customHeight="1" x14ac:dyDescent="0.35">
      <c r="B25" s="8"/>
    </row>
    <row r="26" spans="1:4" ht="18.75" customHeight="1" x14ac:dyDescent="0.35">
      <c r="B26" s="8"/>
    </row>
    <row r="27" spans="1:4" ht="18.75" customHeight="1" x14ac:dyDescent="0.35">
      <c r="B27" s="8"/>
    </row>
    <row r="28" spans="1:4" ht="18.75" customHeight="1" x14ac:dyDescent="0.35">
      <c r="B28" s="8"/>
    </row>
    <row r="29" spans="1:4" ht="18.75" customHeight="1" x14ac:dyDescent="0.35">
      <c r="B29" s="8"/>
    </row>
    <row r="30" spans="1:4" ht="18.75" customHeight="1" x14ac:dyDescent="0.35">
      <c r="B30" s="8"/>
    </row>
    <row r="31" spans="1:4" ht="18.75" customHeight="1" x14ac:dyDescent="0.35">
      <c r="B31" s="8"/>
    </row>
    <row r="32" spans="1:4" ht="18.75" customHeight="1" x14ac:dyDescent="0.35">
      <c r="B32" s="8"/>
    </row>
    <row r="33" spans="2:2" ht="18.75" customHeight="1" x14ac:dyDescent="0.35">
      <c r="B33" s="8"/>
    </row>
    <row r="34" spans="2:2" ht="18.75" customHeight="1" x14ac:dyDescent="0.35">
      <c r="B34" s="8"/>
    </row>
    <row r="35" spans="2:2" ht="18.75" customHeight="1" x14ac:dyDescent="0.35">
      <c r="B35" s="8"/>
    </row>
    <row r="36" spans="2:2" ht="18.75" customHeight="1" x14ac:dyDescent="0.35">
      <c r="B36" s="8"/>
    </row>
    <row r="37" spans="2:2" ht="18.75" customHeight="1" x14ac:dyDescent="0.35">
      <c r="B37" s="8"/>
    </row>
    <row r="38" spans="2:2" ht="18.75" customHeight="1" x14ac:dyDescent="0.35">
      <c r="B38" s="8"/>
    </row>
    <row r="39" spans="2:2" ht="18.75" customHeight="1" x14ac:dyDescent="0.35">
      <c r="B39" s="8"/>
    </row>
    <row r="40" spans="2:2" ht="18.75" customHeight="1" x14ac:dyDescent="0.35">
      <c r="B40" s="8"/>
    </row>
    <row r="41" spans="2:2" ht="18.75" customHeight="1" x14ac:dyDescent="0.35">
      <c r="B41" s="8"/>
    </row>
    <row r="42" spans="2:2" ht="18.75" customHeight="1" x14ac:dyDescent="0.35">
      <c r="B42" s="8"/>
    </row>
    <row r="43" spans="2:2" ht="18.75" customHeight="1" x14ac:dyDescent="0.35">
      <c r="B43" s="8"/>
    </row>
    <row r="44" spans="2:2" ht="18.75" customHeight="1" x14ac:dyDescent="0.35">
      <c r="B44" s="8"/>
    </row>
    <row r="45" spans="2:2" ht="18.75" customHeight="1" x14ac:dyDescent="0.35">
      <c r="B45" s="8"/>
    </row>
    <row r="46" spans="2:2" ht="18.75" customHeight="1" x14ac:dyDescent="0.35">
      <c r="B46" s="8"/>
    </row>
    <row r="47" spans="2:2" ht="18.75" customHeight="1" x14ac:dyDescent="0.35">
      <c r="B47" s="8"/>
    </row>
    <row r="48" spans="2:2" ht="18.75" customHeight="1" x14ac:dyDescent="0.35">
      <c r="B48" s="8"/>
    </row>
    <row r="49" spans="2:2" ht="18.75" customHeight="1" x14ac:dyDescent="0.35">
      <c r="B49" s="8"/>
    </row>
    <row r="50" spans="2:2" ht="18.75" customHeight="1" x14ac:dyDescent="0.35">
      <c r="B50" s="8"/>
    </row>
    <row r="51" spans="2:2" ht="18.75" customHeight="1" x14ac:dyDescent="0.35">
      <c r="B51" s="8"/>
    </row>
    <row r="52" spans="2:2" ht="18.75" customHeight="1" x14ac:dyDescent="0.35">
      <c r="B52" s="8"/>
    </row>
    <row r="53" spans="2:2" ht="18.75" customHeight="1" x14ac:dyDescent="0.35">
      <c r="B53" s="8"/>
    </row>
    <row r="54" spans="2:2" ht="18.75" customHeight="1" x14ac:dyDescent="0.35">
      <c r="B54" s="8"/>
    </row>
    <row r="55" spans="2:2" ht="18.75" customHeight="1" x14ac:dyDescent="0.35">
      <c r="B55" s="8"/>
    </row>
    <row r="56" spans="2:2" ht="18.75" customHeight="1" x14ac:dyDescent="0.35">
      <c r="B56" s="8"/>
    </row>
    <row r="57" spans="2:2" ht="18.75" customHeight="1" x14ac:dyDescent="0.35">
      <c r="B57" s="8"/>
    </row>
    <row r="58" spans="2:2" ht="18.75" customHeight="1" x14ac:dyDescent="0.35">
      <c r="B58" s="8"/>
    </row>
    <row r="59" spans="2:2" ht="18.75" customHeight="1" x14ac:dyDescent="0.35">
      <c r="B59" s="8"/>
    </row>
    <row r="60" spans="2:2" ht="18.75" customHeight="1" x14ac:dyDescent="0.35">
      <c r="B60" s="8"/>
    </row>
    <row r="61" spans="2:2" ht="18.75" customHeight="1" x14ac:dyDescent="0.35">
      <c r="B61" s="8"/>
    </row>
    <row r="62" spans="2:2" ht="18.75" customHeight="1" x14ac:dyDescent="0.35">
      <c r="B62" s="8"/>
    </row>
    <row r="63" spans="2:2" ht="18.75" customHeight="1" x14ac:dyDescent="0.35">
      <c r="B63" s="8"/>
    </row>
    <row r="64" spans="2:2" ht="18.75" customHeight="1" x14ac:dyDescent="0.35">
      <c r="B64" s="8"/>
    </row>
    <row r="65" spans="2:2" ht="18.75" customHeight="1" x14ac:dyDescent="0.35">
      <c r="B65" s="8"/>
    </row>
    <row r="66" spans="2:2" ht="18.75" customHeight="1" x14ac:dyDescent="0.35">
      <c r="B66" s="8"/>
    </row>
    <row r="67" spans="2:2" ht="18.75" customHeight="1" x14ac:dyDescent="0.35">
      <c r="B67" s="8"/>
    </row>
    <row r="68" spans="2:2" ht="18.75" customHeight="1" x14ac:dyDescent="0.35">
      <c r="B68" s="8"/>
    </row>
    <row r="69" spans="2:2" ht="18.75" customHeight="1" x14ac:dyDescent="0.35">
      <c r="B69" s="8"/>
    </row>
    <row r="70" spans="2:2" ht="18.75" customHeight="1" x14ac:dyDescent="0.35">
      <c r="B70" s="8"/>
    </row>
    <row r="71" spans="2:2" ht="18.75" customHeight="1" x14ac:dyDescent="0.35">
      <c r="B71" s="8"/>
    </row>
    <row r="72" spans="2:2" ht="18.75" customHeight="1" x14ac:dyDescent="0.35">
      <c r="B72" s="8"/>
    </row>
    <row r="73" spans="2:2" ht="18.75" customHeight="1" x14ac:dyDescent="0.35">
      <c r="B73" s="8"/>
    </row>
    <row r="74" spans="2:2" ht="18.75" customHeight="1" x14ac:dyDescent="0.35">
      <c r="B74" s="8"/>
    </row>
    <row r="75" spans="2:2" ht="18.75" customHeight="1" x14ac:dyDescent="0.35">
      <c r="B75" s="8"/>
    </row>
    <row r="76" spans="2:2" ht="18.75" customHeight="1" x14ac:dyDescent="0.35">
      <c r="B76" s="8"/>
    </row>
    <row r="77" spans="2:2" ht="18.75" customHeight="1" x14ac:dyDescent="0.35">
      <c r="B77" s="8"/>
    </row>
    <row r="78" spans="2:2" ht="18.75" customHeight="1" x14ac:dyDescent="0.35">
      <c r="B78" s="8"/>
    </row>
    <row r="79" spans="2:2" ht="18.75" customHeight="1" x14ac:dyDescent="0.35">
      <c r="B79" s="8"/>
    </row>
    <row r="80" spans="2:2" ht="18.75" customHeight="1" x14ac:dyDescent="0.35">
      <c r="B80" s="8"/>
    </row>
    <row r="81" spans="2:2" ht="18.75" customHeight="1" x14ac:dyDescent="0.35">
      <c r="B81" s="8"/>
    </row>
    <row r="82" spans="2:2" ht="18.75" customHeight="1" x14ac:dyDescent="0.35">
      <c r="B82" s="8"/>
    </row>
    <row r="83" spans="2:2" ht="18.75" customHeight="1" x14ac:dyDescent="0.35">
      <c r="B83" s="8"/>
    </row>
    <row r="84" spans="2:2" ht="18.75" customHeight="1" x14ac:dyDescent="0.35">
      <c r="B84" s="8"/>
    </row>
    <row r="85" spans="2:2" ht="18.75" customHeight="1" x14ac:dyDescent="0.35">
      <c r="B85" s="8"/>
    </row>
    <row r="86" spans="2:2" ht="18.75" customHeight="1" x14ac:dyDescent="0.35">
      <c r="B86" s="8"/>
    </row>
    <row r="87" spans="2:2" ht="18.75" customHeight="1" x14ac:dyDescent="0.35">
      <c r="B87" s="8"/>
    </row>
    <row r="88" spans="2:2" ht="18.75" customHeight="1" x14ac:dyDescent="0.35">
      <c r="B88" s="8"/>
    </row>
    <row r="89" spans="2:2" ht="18.75" customHeight="1" x14ac:dyDescent="0.35">
      <c r="B89" s="8"/>
    </row>
    <row r="90" spans="2:2" ht="18.75" customHeight="1" x14ac:dyDescent="0.35">
      <c r="B90" s="8"/>
    </row>
    <row r="91" spans="2:2" ht="18.75" customHeight="1" x14ac:dyDescent="0.35">
      <c r="B91" s="8"/>
    </row>
    <row r="92" spans="2:2" ht="18.75" customHeight="1" x14ac:dyDescent="0.35">
      <c r="B92" s="8"/>
    </row>
    <row r="93" spans="2:2" ht="18.75" customHeight="1" x14ac:dyDescent="0.35">
      <c r="B93" s="8"/>
    </row>
    <row r="94" spans="2:2" ht="18.75" customHeight="1" x14ac:dyDescent="0.35">
      <c r="B94" s="8"/>
    </row>
    <row r="95" spans="2:2" ht="18.75" customHeight="1" x14ac:dyDescent="0.35">
      <c r="B95" s="8"/>
    </row>
    <row r="96" spans="2:2" ht="18.75" customHeight="1" x14ac:dyDescent="0.35">
      <c r="B96" s="8"/>
    </row>
    <row r="97" spans="2:2" ht="18.75" customHeight="1" x14ac:dyDescent="0.35">
      <c r="B97" s="8"/>
    </row>
    <row r="98" spans="2:2" ht="18.75" customHeight="1" x14ac:dyDescent="0.35">
      <c r="B98" s="8"/>
    </row>
    <row r="99" spans="2:2" ht="18.75" customHeight="1" x14ac:dyDescent="0.35">
      <c r="B99" s="8"/>
    </row>
    <row r="100" spans="2:2" ht="18.75" customHeight="1" x14ac:dyDescent="0.35">
      <c r="B100" s="8"/>
    </row>
    <row r="101" spans="2:2" ht="18.75" customHeight="1" x14ac:dyDescent="0.35">
      <c r="B101" s="8"/>
    </row>
    <row r="102" spans="2:2" ht="18.75" customHeight="1" x14ac:dyDescent="0.35">
      <c r="B102" s="8"/>
    </row>
    <row r="103" spans="2:2" ht="18.75" customHeight="1" x14ac:dyDescent="0.35">
      <c r="B103" s="8"/>
    </row>
    <row r="104" spans="2:2" ht="18.75" customHeight="1" x14ac:dyDescent="0.35">
      <c r="B104" s="8"/>
    </row>
    <row r="105" spans="2:2" ht="18.75" customHeight="1" x14ac:dyDescent="0.35">
      <c r="B105" s="8"/>
    </row>
    <row r="106" spans="2:2" ht="18.75" customHeight="1" x14ac:dyDescent="0.35">
      <c r="B106" s="8"/>
    </row>
    <row r="107" spans="2:2" ht="18.75" customHeight="1" x14ac:dyDescent="0.35">
      <c r="B107" s="8"/>
    </row>
    <row r="108" spans="2:2" ht="18.75" customHeight="1" x14ac:dyDescent="0.35">
      <c r="B108" s="8"/>
    </row>
    <row r="109" spans="2:2" ht="18.75" customHeight="1" x14ac:dyDescent="0.35">
      <c r="B109" s="8"/>
    </row>
    <row r="110" spans="2:2" ht="18.75" customHeight="1" x14ac:dyDescent="0.35">
      <c r="B110" s="8"/>
    </row>
    <row r="111" spans="2:2" ht="18.75" customHeight="1" x14ac:dyDescent="0.35">
      <c r="B111" s="8"/>
    </row>
    <row r="112" spans="2:2" ht="18.75" customHeight="1" x14ac:dyDescent="0.35">
      <c r="B112" s="8"/>
    </row>
    <row r="113" spans="2:2" ht="18.75" customHeight="1" x14ac:dyDescent="0.35">
      <c r="B113" s="8"/>
    </row>
    <row r="114" spans="2:2" ht="18.75" customHeight="1" x14ac:dyDescent="0.35">
      <c r="B114" s="8"/>
    </row>
    <row r="115" spans="2:2" ht="18.75" customHeight="1" x14ac:dyDescent="0.35">
      <c r="B115" s="8"/>
    </row>
    <row r="116" spans="2:2" ht="18.75" customHeight="1" x14ac:dyDescent="0.35">
      <c r="B116" s="8"/>
    </row>
    <row r="117" spans="2:2" ht="18.75" customHeight="1" x14ac:dyDescent="0.35">
      <c r="B117" s="8"/>
    </row>
    <row r="118" spans="2:2" ht="18.75" customHeight="1" x14ac:dyDescent="0.35">
      <c r="B118" s="8"/>
    </row>
    <row r="119" spans="2:2" ht="18.75" customHeight="1" x14ac:dyDescent="0.35">
      <c r="B119" s="8"/>
    </row>
    <row r="120" spans="2:2" ht="18.75" customHeight="1" x14ac:dyDescent="0.35">
      <c r="B120" s="8"/>
    </row>
    <row r="121" spans="2:2" ht="18.75" customHeight="1" x14ac:dyDescent="0.35">
      <c r="B121" s="8"/>
    </row>
    <row r="122" spans="2:2" ht="18.75" customHeight="1" x14ac:dyDescent="0.35">
      <c r="B122" s="8"/>
    </row>
    <row r="123" spans="2:2" ht="18.75" customHeight="1" x14ac:dyDescent="0.35">
      <c r="B123" s="8"/>
    </row>
    <row r="124" spans="2:2" ht="18.75" customHeight="1" x14ac:dyDescent="0.35">
      <c r="B124" s="8"/>
    </row>
    <row r="125" spans="2:2" ht="18.75" customHeight="1" x14ac:dyDescent="0.35">
      <c r="B125" s="8"/>
    </row>
    <row r="126" spans="2:2" ht="18.75" customHeight="1" x14ac:dyDescent="0.35">
      <c r="B126" s="8"/>
    </row>
    <row r="127" spans="2:2" ht="18.75" customHeight="1" x14ac:dyDescent="0.35">
      <c r="B127" s="8"/>
    </row>
    <row r="128" spans="2:2" ht="18.75" customHeight="1" x14ac:dyDescent="0.35">
      <c r="B128" s="8"/>
    </row>
    <row r="129" spans="2:2" ht="18.75" customHeight="1" x14ac:dyDescent="0.35">
      <c r="B129" s="8"/>
    </row>
    <row r="130" spans="2:2" ht="18.75" customHeight="1" x14ac:dyDescent="0.35">
      <c r="B130" s="8"/>
    </row>
    <row r="131" spans="2:2" ht="18.75" customHeight="1" x14ac:dyDescent="0.35">
      <c r="B131" s="8"/>
    </row>
    <row r="132" spans="2:2" ht="18.75" customHeight="1" x14ac:dyDescent="0.35">
      <c r="B132" s="8"/>
    </row>
    <row r="133" spans="2:2" ht="18.75" customHeight="1" x14ac:dyDescent="0.35">
      <c r="B133" s="8"/>
    </row>
    <row r="134" spans="2:2" ht="18.75" customHeight="1" x14ac:dyDescent="0.35">
      <c r="B134" s="8"/>
    </row>
    <row r="135" spans="2:2" ht="18.75" customHeight="1" x14ac:dyDescent="0.35">
      <c r="B135" s="8"/>
    </row>
    <row r="136" spans="2:2" ht="18.75" customHeight="1" x14ac:dyDescent="0.35">
      <c r="B136" s="8"/>
    </row>
    <row r="137" spans="2:2" ht="18.75" customHeight="1" x14ac:dyDescent="0.35">
      <c r="B137" s="8"/>
    </row>
    <row r="138" spans="2:2" ht="18.75" customHeight="1" x14ac:dyDescent="0.35">
      <c r="B138" s="8"/>
    </row>
    <row r="139" spans="2:2" ht="18.75" customHeight="1" x14ac:dyDescent="0.35">
      <c r="B139" s="8"/>
    </row>
    <row r="140" spans="2:2" ht="18.75" customHeight="1" x14ac:dyDescent="0.35">
      <c r="B140" s="8"/>
    </row>
    <row r="141" spans="2:2" ht="18.75" customHeight="1" x14ac:dyDescent="0.35">
      <c r="B141" s="8"/>
    </row>
    <row r="142" spans="2:2" ht="18.75" customHeight="1" x14ac:dyDescent="0.35">
      <c r="B142" s="8"/>
    </row>
    <row r="143" spans="2:2" ht="18.75" customHeight="1" x14ac:dyDescent="0.35">
      <c r="B143" s="8"/>
    </row>
    <row r="144" spans="2:2" ht="18.75" customHeight="1" x14ac:dyDescent="0.35">
      <c r="B144" s="8"/>
    </row>
    <row r="145" spans="2:2" ht="18.75" customHeight="1" x14ac:dyDescent="0.35">
      <c r="B145" s="8"/>
    </row>
    <row r="146" spans="2:2" ht="18.75" customHeight="1" x14ac:dyDescent="0.35">
      <c r="B146" s="8"/>
    </row>
    <row r="147" spans="2:2" ht="18.75" customHeight="1" x14ac:dyDescent="0.35">
      <c r="B147" s="8"/>
    </row>
    <row r="148" spans="2:2" ht="18.75" customHeight="1" x14ac:dyDescent="0.35">
      <c r="B148" s="8"/>
    </row>
    <row r="149" spans="2:2" ht="18.75" customHeight="1" x14ac:dyDescent="0.35">
      <c r="B149" s="8"/>
    </row>
    <row r="150" spans="2:2" ht="18.75" customHeight="1" x14ac:dyDescent="0.35">
      <c r="B150" s="8"/>
    </row>
    <row r="151" spans="2:2" ht="18.75" customHeight="1" x14ac:dyDescent="0.35">
      <c r="B151" s="8"/>
    </row>
    <row r="152" spans="2:2" ht="18.75" customHeight="1" x14ac:dyDescent="0.35">
      <c r="B152" s="8"/>
    </row>
    <row r="153" spans="2:2" ht="18.75" customHeight="1" x14ac:dyDescent="0.35">
      <c r="B153" s="8"/>
    </row>
    <row r="154" spans="2:2" ht="18.75" customHeight="1" x14ac:dyDescent="0.35">
      <c r="B154" s="8"/>
    </row>
    <row r="155" spans="2:2" ht="18.75" customHeight="1" x14ac:dyDescent="0.35">
      <c r="B155" s="8"/>
    </row>
    <row r="156" spans="2:2" ht="18.75" customHeight="1" x14ac:dyDescent="0.35">
      <c r="B156" s="8"/>
    </row>
    <row r="157" spans="2:2" ht="18.75" customHeight="1" x14ac:dyDescent="0.35">
      <c r="B157" s="8"/>
    </row>
    <row r="158" spans="2:2" ht="18.75" customHeight="1" x14ac:dyDescent="0.35">
      <c r="B158" s="8"/>
    </row>
    <row r="159" spans="2:2" ht="18.75" customHeight="1" x14ac:dyDescent="0.35">
      <c r="B159" s="8"/>
    </row>
    <row r="160" spans="2:2" ht="18.75" customHeight="1" x14ac:dyDescent="0.35">
      <c r="B160" s="8"/>
    </row>
    <row r="161" spans="2:2" ht="18.75" customHeight="1" x14ac:dyDescent="0.35">
      <c r="B161" s="8"/>
    </row>
    <row r="162" spans="2:2" ht="18.75" customHeight="1" x14ac:dyDescent="0.35">
      <c r="B162" s="8"/>
    </row>
    <row r="163" spans="2:2" ht="18.75" customHeight="1" x14ac:dyDescent="0.35">
      <c r="B163" s="8"/>
    </row>
    <row r="164" spans="2:2" ht="18.75" customHeight="1" x14ac:dyDescent="0.35">
      <c r="B164" s="8"/>
    </row>
    <row r="165" spans="2:2" ht="18.75" customHeight="1" x14ac:dyDescent="0.35">
      <c r="B165" s="8"/>
    </row>
    <row r="166" spans="2:2" ht="18.75" customHeight="1" x14ac:dyDescent="0.35">
      <c r="B166" s="8"/>
    </row>
    <row r="167" spans="2:2" ht="18.75" customHeight="1" x14ac:dyDescent="0.35">
      <c r="B167" s="8"/>
    </row>
    <row r="168" spans="2:2" ht="18.75" customHeight="1" x14ac:dyDescent="0.35">
      <c r="B168" s="8"/>
    </row>
    <row r="169" spans="2:2" ht="18.75" customHeight="1" x14ac:dyDescent="0.35">
      <c r="B169" s="8"/>
    </row>
    <row r="170" spans="2:2" ht="18.75" customHeight="1" x14ac:dyDescent="0.35">
      <c r="B170" s="8"/>
    </row>
    <row r="171" spans="2:2" ht="18.75" customHeight="1" x14ac:dyDescent="0.35">
      <c r="B171" s="8"/>
    </row>
    <row r="172" spans="2:2" ht="18.75" customHeight="1" x14ac:dyDescent="0.35">
      <c r="B172" s="8"/>
    </row>
    <row r="173" spans="2:2" ht="18.75" customHeight="1" x14ac:dyDescent="0.35">
      <c r="B173" s="8"/>
    </row>
    <row r="174" spans="2:2" ht="18.75" customHeight="1" x14ac:dyDescent="0.35">
      <c r="B174" s="8"/>
    </row>
    <row r="175" spans="2:2" ht="18.75" customHeight="1" x14ac:dyDescent="0.35">
      <c r="B175" s="8"/>
    </row>
    <row r="176" spans="2:2" ht="18.75" customHeight="1" x14ac:dyDescent="0.35">
      <c r="B176" s="8"/>
    </row>
    <row r="177" spans="2:2" ht="18.75" customHeight="1" x14ac:dyDescent="0.35">
      <c r="B177" s="8"/>
    </row>
    <row r="178" spans="2:2" ht="18.75" customHeight="1" x14ac:dyDescent="0.35">
      <c r="B178" s="8"/>
    </row>
    <row r="179" spans="2:2" ht="18.75" customHeight="1" x14ac:dyDescent="0.35">
      <c r="B179" s="8"/>
    </row>
    <row r="180" spans="2:2" ht="18.75" customHeight="1" x14ac:dyDescent="0.35">
      <c r="B180" s="8"/>
    </row>
    <row r="181" spans="2:2" ht="18.75" customHeight="1" x14ac:dyDescent="0.35">
      <c r="B181" s="8"/>
    </row>
    <row r="182" spans="2:2" ht="18.75" customHeight="1" x14ac:dyDescent="0.35">
      <c r="B182" s="8"/>
    </row>
    <row r="183" spans="2:2" ht="18.75" customHeight="1" x14ac:dyDescent="0.35">
      <c r="B183" s="8"/>
    </row>
    <row r="184" spans="2:2" ht="18.75" customHeight="1" x14ac:dyDescent="0.35">
      <c r="B184" s="8"/>
    </row>
    <row r="185" spans="2:2" ht="18.75" customHeight="1" x14ac:dyDescent="0.35">
      <c r="B185" s="8"/>
    </row>
    <row r="186" spans="2:2" ht="18.75" customHeight="1" x14ac:dyDescent="0.35">
      <c r="B186" s="8"/>
    </row>
    <row r="187" spans="2:2" ht="18.75" customHeight="1" x14ac:dyDescent="0.35">
      <c r="B187" s="8"/>
    </row>
    <row r="188" spans="2:2" ht="18.75" customHeight="1" x14ac:dyDescent="0.35">
      <c r="B188" s="8"/>
    </row>
    <row r="189" spans="2:2" ht="18.75" customHeight="1" x14ac:dyDescent="0.35">
      <c r="B189" s="8"/>
    </row>
    <row r="190" spans="2:2" ht="18.75" customHeight="1" x14ac:dyDescent="0.35">
      <c r="B190" s="8"/>
    </row>
    <row r="191" spans="2:2" ht="18.75" customHeight="1" x14ac:dyDescent="0.35">
      <c r="B191" s="8"/>
    </row>
    <row r="192" spans="2:2" ht="18.75" customHeight="1" x14ac:dyDescent="0.35">
      <c r="B192" s="8"/>
    </row>
    <row r="193" spans="2:2" ht="18.75" customHeight="1" x14ac:dyDescent="0.35">
      <c r="B193" s="8"/>
    </row>
    <row r="194" spans="2:2" ht="18.75" customHeight="1" x14ac:dyDescent="0.35">
      <c r="B194" s="8"/>
    </row>
    <row r="195" spans="2:2" ht="18.75" customHeight="1" x14ac:dyDescent="0.35">
      <c r="B195" s="8"/>
    </row>
    <row r="196" spans="2:2" ht="18.75" customHeight="1" x14ac:dyDescent="0.35">
      <c r="B196" s="8"/>
    </row>
    <row r="197" spans="2:2" ht="18.75" customHeight="1" x14ac:dyDescent="0.35">
      <c r="B197" s="8"/>
    </row>
    <row r="198" spans="2:2" ht="18.75" customHeight="1" x14ac:dyDescent="0.35">
      <c r="B198" s="8"/>
    </row>
    <row r="199" spans="2:2" ht="18.75" customHeight="1" x14ac:dyDescent="0.35">
      <c r="B199" s="8"/>
    </row>
    <row r="200" spans="2:2" ht="18.75" customHeight="1" x14ac:dyDescent="0.35">
      <c r="B200" s="8"/>
    </row>
    <row r="201" spans="2:2" ht="18.75" customHeight="1" x14ac:dyDescent="0.35">
      <c r="B201" s="8"/>
    </row>
    <row r="202" spans="2:2" ht="18.75" customHeight="1" x14ac:dyDescent="0.35">
      <c r="B202" s="8"/>
    </row>
    <row r="203" spans="2:2" ht="18.75" customHeight="1" x14ac:dyDescent="0.35">
      <c r="B203" s="8"/>
    </row>
    <row r="204" spans="2:2" ht="18.75" customHeight="1" x14ac:dyDescent="0.35">
      <c r="B204" s="8"/>
    </row>
    <row r="205" spans="2:2" ht="18.75" customHeight="1" x14ac:dyDescent="0.35">
      <c r="B205" s="8"/>
    </row>
    <row r="206" spans="2:2" ht="18.75" customHeight="1" x14ac:dyDescent="0.35">
      <c r="B206" s="8"/>
    </row>
    <row r="207" spans="2:2" ht="18.75" customHeight="1" x14ac:dyDescent="0.35">
      <c r="B207" s="8"/>
    </row>
    <row r="208" spans="2:2" ht="18.75" customHeight="1" x14ac:dyDescent="0.35">
      <c r="B208" s="8"/>
    </row>
    <row r="209" spans="2:2" ht="18.75" customHeight="1" x14ac:dyDescent="0.35">
      <c r="B209" s="8"/>
    </row>
    <row r="210" spans="2:2" ht="18.75" customHeight="1" x14ac:dyDescent="0.35">
      <c r="B210" s="8"/>
    </row>
    <row r="211" spans="2:2" ht="18.75" customHeight="1" x14ac:dyDescent="0.35">
      <c r="B211" s="8"/>
    </row>
    <row r="212" spans="2:2" ht="18.75" customHeight="1" x14ac:dyDescent="0.35">
      <c r="B212" s="8"/>
    </row>
    <row r="213" spans="2:2" ht="18.75" customHeight="1" x14ac:dyDescent="0.35">
      <c r="B213" s="8"/>
    </row>
    <row r="214" spans="2:2" ht="18.75" customHeight="1" x14ac:dyDescent="0.35">
      <c r="B214" s="8"/>
    </row>
    <row r="215" spans="2:2" ht="18.75" customHeight="1" x14ac:dyDescent="0.35">
      <c r="B215" s="8"/>
    </row>
    <row r="216" spans="2:2" ht="18.75" customHeight="1" x14ac:dyDescent="0.35">
      <c r="B216" s="8"/>
    </row>
    <row r="217" spans="2:2" ht="18.75" customHeight="1" x14ac:dyDescent="0.35">
      <c r="B217" s="8"/>
    </row>
    <row r="218" spans="2:2" ht="18.75" customHeight="1" x14ac:dyDescent="0.35">
      <c r="B218" s="8"/>
    </row>
    <row r="219" spans="2:2" ht="18.75" customHeight="1" x14ac:dyDescent="0.35">
      <c r="B219" s="8"/>
    </row>
    <row r="220" spans="2:2" ht="18.75" customHeight="1" x14ac:dyDescent="0.35">
      <c r="B220" s="8"/>
    </row>
    <row r="221" spans="2:2" ht="18.75" customHeight="1" x14ac:dyDescent="0.35">
      <c r="B221" s="8"/>
    </row>
    <row r="222" spans="2:2" ht="18.75" customHeight="1" x14ac:dyDescent="0.35">
      <c r="B222" s="8"/>
    </row>
    <row r="223" spans="2:2" ht="18.75" customHeight="1" x14ac:dyDescent="0.35">
      <c r="B223" s="8"/>
    </row>
    <row r="224" spans="2:2" ht="18.75" customHeight="1" x14ac:dyDescent="0.35">
      <c r="B224" s="8"/>
    </row>
    <row r="225" spans="2:2" ht="18.75" customHeight="1" x14ac:dyDescent="0.35">
      <c r="B225" s="8"/>
    </row>
    <row r="226" spans="2:2" ht="18.75" customHeight="1" x14ac:dyDescent="0.35">
      <c r="B226" s="8"/>
    </row>
    <row r="227" spans="2:2" ht="18.75" customHeight="1" x14ac:dyDescent="0.35">
      <c r="B227" s="8"/>
    </row>
    <row r="228" spans="2:2" ht="18.75" customHeight="1" x14ac:dyDescent="0.35">
      <c r="B228" s="8"/>
    </row>
    <row r="229" spans="2:2" ht="18.75" customHeight="1" x14ac:dyDescent="0.35">
      <c r="B229" s="8"/>
    </row>
    <row r="230" spans="2:2" ht="18.75" customHeight="1" x14ac:dyDescent="0.35">
      <c r="B230" s="8"/>
    </row>
    <row r="231" spans="2:2" ht="18.75" customHeight="1" x14ac:dyDescent="0.35">
      <c r="B231" s="8"/>
    </row>
    <row r="232" spans="2:2" ht="18.75" customHeight="1" x14ac:dyDescent="0.35">
      <c r="B232" s="8"/>
    </row>
    <row r="233" spans="2:2" ht="18.75" customHeight="1" x14ac:dyDescent="0.35">
      <c r="B233" s="8"/>
    </row>
    <row r="234" spans="2:2" ht="18.75" customHeight="1" x14ac:dyDescent="0.35">
      <c r="B234" s="8"/>
    </row>
    <row r="235" spans="2:2" ht="18.75" customHeight="1" x14ac:dyDescent="0.35">
      <c r="B235" s="8"/>
    </row>
    <row r="236" spans="2:2" ht="18.75" customHeight="1" x14ac:dyDescent="0.35">
      <c r="B236" s="8"/>
    </row>
    <row r="237" spans="2:2" ht="18.75" customHeight="1" x14ac:dyDescent="0.35">
      <c r="B237" s="8"/>
    </row>
    <row r="238" spans="2:2" ht="18.75" customHeight="1" x14ac:dyDescent="0.35">
      <c r="B238" s="8"/>
    </row>
    <row r="239" spans="2:2" ht="18.75" customHeight="1" x14ac:dyDescent="0.35">
      <c r="B239" s="8"/>
    </row>
    <row r="240" spans="2:2" ht="18.75" customHeight="1" x14ac:dyDescent="0.35">
      <c r="B240" s="8"/>
    </row>
    <row r="241" spans="2:2" ht="18.75" customHeight="1" x14ac:dyDescent="0.35">
      <c r="B241" s="8"/>
    </row>
    <row r="242" spans="2:2" ht="18.75" customHeight="1" x14ac:dyDescent="0.35">
      <c r="B242" s="8"/>
    </row>
    <row r="243" spans="2:2" ht="18.75" customHeight="1" x14ac:dyDescent="0.35">
      <c r="B243" s="8"/>
    </row>
    <row r="244" spans="2:2" ht="18.75" customHeight="1" x14ac:dyDescent="0.35">
      <c r="B244" s="8"/>
    </row>
    <row r="245" spans="2:2" ht="18.75" customHeight="1" x14ac:dyDescent="0.35">
      <c r="B245" s="8"/>
    </row>
    <row r="246" spans="2:2" ht="18.75" customHeight="1" x14ac:dyDescent="0.35">
      <c r="B246" s="8"/>
    </row>
    <row r="247" spans="2:2" ht="18.75" customHeight="1" x14ac:dyDescent="0.35">
      <c r="B247" s="8"/>
    </row>
    <row r="248" spans="2:2" ht="18.75" customHeight="1" x14ac:dyDescent="0.35">
      <c r="B248" s="8"/>
    </row>
    <row r="249" spans="2:2" ht="18.75" customHeight="1" x14ac:dyDescent="0.35">
      <c r="B249" s="8"/>
    </row>
    <row r="250" spans="2:2" ht="18.75" customHeight="1" x14ac:dyDescent="0.35">
      <c r="B250" s="8"/>
    </row>
    <row r="251" spans="2:2" ht="18.75" customHeight="1" x14ac:dyDescent="0.35">
      <c r="B251" s="8"/>
    </row>
    <row r="252" spans="2:2" ht="18.75" customHeight="1" x14ac:dyDescent="0.35">
      <c r="B252" s="8"/>
    </row>
    <row r="253" spans="2:2" ht="18.75" customHeight="1" x14ac:dyDescent="0.35">
      <c r="B253" s="8"/>
    </row>
    <row r="254" spans="2:2" ht="18.75" customHeight="1" x14ac:dyDescent="0.35">
      <c r="B254" s="8"/>
    </row>
    <row r="255" spans="2:2" ht="18.75" customHeight="1" x14ac:dyDescent="0.35">
      <c r="B255" s="8"/>
    </row>
    <row r="256" spans="2:2" ht="18.75" customHeight="1" x14ac:dyDescent="0.35">
      <c r="B256" s="8"/>
    </row>
    <row r="257" spans="2:2" ht="18.75" customHeight="1" x14ac:dyDescent="0.35">
      <c r="B257" s="8"/>
    </row>
    <row r="258" spans="2:2" ht="18.75" customHeight="1" x14ac:dyDescent="0.35">
      <c r="B258" s="8"/>
    </row>
    <row r="259" spans="2:2" ht="18.75" customHeight="1" x14ac:dyDescent="0.35">
      <c r="B259" s="8"/>
    </row>
    <row r="260" spans="2:2" ht="18.75" customHeight="1" x14ac:dyDescent="0.35">
      <c r="B260" s="8"/>
    </row>
    <row r="261" spans="2:2" ht="18.75" customHeight="1" x14ac:dyDescent="0.35">
      <c r="B261" s="8"/>
    </row>
    <row r="262" spans="2:2" ht="18.75" customHeight="1" x14ac:dyDescent="0.35">
      <c r="B262" s="8"/>
    </row>
    <row r="263" spans="2:2" ht="18.75" customHeight="1" x14ac:dyDescent="0.35">
      <c r="B263" s="8"/>
    </row>
    <row r="264" spans="2:2" ht="18.75" customHeight="1" x14ac:dyDescent="0.35">
      <c r="B264" s="8"/>
    </row>
    <row r="265" spans="2:2" ht="18.75" customHeight="1" x14ac:dyDescent="0.35">
      <c r="B265" s="8"/>
    </row>
    <row r="266" spans="2:2" ht="18.75" customHeight="1" x14ac:dyDescent="0.35">
      <c r="B266" s="8"/>
    </row>
    <row r="267" spans="2:2" ht="18.75" customHeight="1" x14ac:dyDescent="0.35">
      <c r="B267" s="8"/>
    </row>
    <row r="268" spans="2:2" ht="18.75" customHeight="1" x14ac:dyDescent="0.35">
      <c r="B268" s="8"/>
    </row>
    <row r="269" spans="2:2" ht="18.75" customHeight="1" x14ac:dyDescent="0.35">
      <c r="B269" s="8"/>
    </row>
    <row r="270" spans="2:2" ht="18.75" customHeight="1" x14ac:dyDescent="0.35">
      <c r="B270" s="8"/>
    </row>
    <row r="271" spans="2:2" ht="18.75" customHeight="1" x14ac:dyDescent="0.35">
      <c r="B271" s="8"/>
    </row>
    <row r="272" spans="2:2" ht="18.75" customHeight="1" x14ac:dyDescent="0.35">
      <c r="B272" s="8"/>
    </row>
    <row r="273" spans="2:2" ht="18.75" customHeight="1" x14ac:dyDescent="0.35">
      <c r="B273" s="8"/>
    </row>
    <row r="274" spans="2:2" ht="18.75" customHeight="1" x14ac:dyDescent="0.35">
      <c r="B274" s="8"/>
    </row>
    <row r="275" spans="2:2" ht="18.75" customHeight="1" x14ac:dyDescent="0.35">
      <c r="B275" s="8"/>
    </row>
    <row r="276" spans="2:2" ht="18.75" customHeight="1" x14ac:dyDescent="0.35">
      <c r="B276" s="8"/>
    </row>
    <row r="277" spans="2:2" ht="18.75" customHeight="1" x14ac:dyDescent="0.35">
      <c r="B277" s="8"/>
    </row>
    <row r="278" spans="2:2" ht="18.75" customHeight="1" x14ac:dyDescent="0.35">
      <c r="B278" s="8"/>
    </row>
    <row r="279" spans="2:2" ht="18.75" customHeight="1" x14ac:dyDescent="0.35">
      <c r="B279" s="8"/>
    </row>
    <row r="280" spans="2:2" ht="18.75" customHeight="1" x14ac:dyDescent="0.35">
      <c r="B280" s="8"/>
    </row>
    <row r="281" spans="2:2" ht="18.75" customHeight="1" x14ac:dyDescent="0.35">
      <c r="B281" s="8"/>
    </row>
    <row r="282" spans="2:2" ht="18.75" customHeight="1" x14ac:dyDescent="0.35">
      <c r="B282" s="8"/>
    </row>
    <row r="283" spans="2:2" ht="18.75" customHeight="1" x14ac:dyDescent="0.35">
      <c r="B283" s="8"/>
    </row>
    <row r="284" spans="2:2" ht="18.75" customHeight="1" x14ac:dyDescent="0.35">
      <c r="B284" s="8"/>
    </row>
    <row r="285" spans="2:2" ht="18.75" customHeight="1" x14ac:dyDescent="0.35">
      <c r="B285" s="8"/>
    </row>
    <row r="286" spans="2:2" ht="18.75" customHeight="1" x14ac:dyDescent="0.35">
      <c r="B286" s="8"/>
    </row>
    <row r="287" spans="2:2" ht="18.75" customHeight="1" x14ac:dyDescent="0.35">
      <c r="B287" s="8"/>
    </row>
    <row r="288" spans="2:2" ht="18.75" customHeight="1" x14ac:dyDescent="0.35">
      <c r="B288" s="8"/>
    </row>
    <row r="289" spans="2:2" ht="18.75" customHeight="1" x14ac:dyDescent="0.35">
      <c r="B289" s="8"/>
    </row>
    <row r="290" spans="2:2" ht="18.75" customHeight="1" x14ac:dyDescent="0.35"/>
  </sheetData>
  <sheetProtection algorithmName="SHA-512" hashValue="SiuKQL/7/q+sHQ0diM/hizJDw8VgzgwoDK2fM4ZcaEk8V0DcV+SL0DJhgNkB+pS/C4tzWoE7zWtsammi2/GEKg==" saltValue="NhriE2pop0uQ8qkAxESFSg==" spinCount="100000" sheet="1" sort="0" autoFilter="0" pivotTables="0"/>
  <autoFilter ref="A3:D3" xr:uid="{7E3EBE48-323E-4C7F-A22E-32EFB174D8F4}">
    <sortState xmlns:xlrd2="http://schemas.microsoft.com/office/spreadsheetml/2017/richdata2" ref="A4:D17">
      <sortCondition ref="B3"/>
    </sortState>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55BE7-3A28-4448-B119-26DF03C38B12}">
  <sheetPr codeName="Sheet22"/>
  <dimension ref="A1:D290"/>
  <sheetViews>
    <sheetView workbookViewId="0">
      <selection activeCell="C1" sqref="C1"/>
    </sheetView>
  </sheetViews>
  <sheetFormatPr defaultColWidth="9.109375" defaultRowHeight="18" x14ac:dyDescent="0.35"/>
  <cols>
    <col min="1" max="1" width="22.88671875" style="3" customWidth="1"/>
    <col min="2" max="2" width="46.33203125" style="3" customWidth="1"/>
    <col min="3" max="3" width="23.33203125" style="3" customWidth="1"/>
    <col min="4" max="5" width="21" style="3" customWidth="1"/>
    <col min="6" max="16384" width="9.109375" style="3"/>
  </cols>
  <sheetData>
    <row r="1" spans="1:4" ht="22.8" x14ac:dyDescent="0.4">
      <c r="A1" s="57" t="s">
        <v>433</v>
      </c>
      <c r="B1" s="57"/>
      <c r="C1" s="5">
        <v>2024</v>
      </c>
      <c r="D1" s="5"/>
    </row>
    <row r="2" spans="1:4" x14ac:dyDescent="0.35">
      <c r="A2" s="44"/>
      <c r="B2" s="11"/>
      <c r="C2" s="18" t="s">
        <v>308</v>
      </c>
      <c r="D2" s="11"/>
    </row>
    <row r="3" spans="1:4" ht="47.25" customHeight="1" x14ac:dyDescent="0.35">
      <c r="A3" s="11" t="s">
        <v>3</v>
      </c>
      <c r="B3" s="11" t="s">
        <v>4</v>
      </c>
      <c r="C3" s="18" t="s">
        <v>311</v>
      </c>
      <c r="D3" s="15" t="s">
        <v>13</v>
      </c>
    </row>
    <row r="4" spans="1:4" ht="18.75" customHeight="1" x14ac:dyDescent="0.35">
      <c r="A4" s="8"/>
      <c r="B4" s="3" t="s">
        <v>270</v>
      </c>
      <c r="C4" s="10">
        <f>11668940.6+5000</f>
        <v>11673940.6</v>
      </c>
      <c r="D4" s="7">
        <f t="shared" ref="D4" si="0">SUM(C4:C4)</f>
        <v>11673940.6</v>
      </c>
    </row>
    <row r="5" spans="1:4" ht="18.75" customHeight="1" x14ac:dyDescent="0.35">
      <c r="A5" s="8"/>
      <c r="C5" s="10"/>
      <c r="D5" s="7"/>
    </row>
    <row r="6" spans="1:4" ht="18.75" customHeight="1" x14ac:dyDescent="0.35">
      <c r="C6" s="59" t="s">
        <v>13</v>
      </c>
      <c r="D6" s="7">
        <f>SUM(D4)</f>
        <v>11673940.6</v>
      </c>
    </row>
    <row r="7" spans="1:4" ht="18.75" customHeight="1" x14ac:dyDescent="0.35">
      <c r="C7" s="10"/>
      <c r="D7" s="7"/>
    </row>
    <row r="8" spans="1:4" ht="18.75" customHeight="1" x14ac:dyDescent="0.35">
      <c r="A8" s="8"/>
      <c r="C8" s="10"/>
      <c r="D8" s="7"/>
    </row>
    <row r="9" spans="1:4" ht="18.75" customHeight="1" x14ac:dyDescent="0.35">
      <c r="C9" s="10"/>
      <c r="D9" s="7"/>
    </row>
    <row r="10" spans="1:4" ht="18.75" customHeight="1" x14ac:dyDescent="0.35">
      <c r="A10" s="8"/>
      <c r="C10" s="10"/>
      <c r="D10" s="7"/>
    </row>
    <row r="11" spans="1:4" ht="18.75" customHeight="1" x14ac:dyDescent="0.35">
      <c r="C11" s="10"/>
      <c r="D11" s="7"/>
    </row>
    <row r="12" spans="1:4" ht="18.75" customHeight="1" x14ac:dyDescent="0.35">
      <c r="C12" s="10"/>
      <c r="D12" s="7"/>
    </row>
    <row r="13" spans="1:4" ht="18.75" customHeight="1" x14ac:dyDescent="0.35">
      <c r="C13" s="10"/>
      <c r="D13" s="7"/>
    </row>
    <row r="14" spans="1:4" ht="18.75" customHeight="1" x14ac:dyDescent="0.35">
      <c r="C14" s="10"/>
      <c r="D14" s="7"/>
    </row>
    <row r="15" spans="1:4" ht="18.75" customHeight="1" x14ac:dyDescent="0.35">
      <c r="C15" s="10"/>
      <c r="D15" s="7"/>
    </row>
    <row r="16" spans="1:4" ht="18.75" customHeight="1" x14ac:dyDescent="0.35">
      <c r="C16" s="10"/>
      <c r="D16" s="7"/>
    </row>
    <row r="17" spans="1:4" ht="18.75" customHeight="1" x14ac:dyDescent="0.35">
      <c r="B17" s="59"/>
    </row>
    <row r="18" spans="1:4" ht="18.75" customHeight="1" x14ac:dyDescent="0.35">
      <c r="B18" s="8"/>
    </row>
    <row r="19" spans="1:4" ht="18.75" customHeight="1" x14ac:dyDescent="0.35">
      <c r="A19" s="55"/>
      <c r="B19" s="56"/>
      <c r="C19" s="56"/>
      <c r="D19" s="56"/>
    </row>
    <row r="20" spans="1:4" ht="18.75" customHeight="1" x14ac:dyDescent="0.35">
      <c r="A20" s="56"/>
      <c r="B20" s="56"/>
      <c r="C20" s="56"/>
      <c r="D20" s="56"/>
    </row>
    <row r="21" spans="1:4" ht="18.75" customHeight="1" x14ac:dyDescent="0.35">
      <c r="B21" s="8"/>
    </row>
    <row r="22" spans="1:4" ht="18.75" customHeight="1" x14ac:dyDescent="0.35">
      <c r="B22" s="8"/>
    </row>
    <row r="23" spans="1:4" ht="18.75" customHeight="1" x14ac:dyDescent="0.35">
      <c r="B23" s="8"/>
    </row>
    <row r="24" spans="1:4" ht="18.75" customHeight="1" x14ac:dyDescent="0.35">
      <c r="B24" s="8"/>
    </row>
    <row r="25" spans="1:4" ht="18.75" customHeight="1" x14ac:dyDescent="0.35">
      <c r="B25" s="8"/>
    </row>
    <row r="26" spans="1:4" ht="18.75" customHeight="1" x14ac:dyDescent="0.35">
      <c r="B26" s="8"/>
    </row>
    <row r="27" spans="1:4" ht="18.75" customHeight="1" x14ac:dyDescent="0.35">
      <c r="B27" s="8"/>
    </row>
    <row r="28" spans="1:4" ht="18.75" customHeight="1" x14ac:dyDescent="0.35">
      <c r="B28" s="8"/>
    </row>
    <row r="29" spans="1:4" ht="18.75" customHeight="1" x14ac:dyDescent="0.35">
      <c r="B29" s="8"/>
    </row>
    <row r="30" spans="1:4" ht="18.75" customHeight="1" x14ac:dyDescent="0.35">
      <c r="B30" s="8"/>
    </row>
    <row r="31" spans="1:4" ht="18.75" customHeight="1" x14ac:dyDescent="0.35">
      <c r="B31" s="8"/>
    </row>
    <row r="32" spans="1:4" ht="18.75" customHeight="1" x14ac:dyDescent="0.35">
      <c r="B32" s="8"/>
    </row>
    <row r="33" spans="2:2" ht="18.75" customHeight="1" x14ac:dyDescent="0.35">
      <c r="B33" s="8"/>
    </row>
    <row r="34" spans="2:2" ht="18.75" customHeight="1" x14ac:dyDescent="0.35">
      <c r="B34" s="8"/>
    </row>
    <row r="35" spans="2:2" ht="18.75" customHeight="1" x14ac:dyDescent="0.35">
      <c r="B35" s="8"/>
    </row>
    <row r="36" spans="2:2" ht="18.75" customHeight="1" x14ac:dyDescent="0.35">
      <c r="B36" s="8"/>
    </row>
    <row r="37" spans="2:2" ht="18.75" customHeight="1" x14ac:dyDescent="0.35">
      <c r="B37" s="8"/>
    </row>
    <row r="38" spans="2:2" ht="18.75" customHeight="1" x14ac:dyDescent="0.35">
      <c r="B38" s="8"/>
    </row>
    <row r="39" spans="2:2" ht="18.75" customHeight="1" x14ac:dyDescent="0.35">
      <c r="B39" s="8"/>
    </row>
    <row r="40" spans="2:2" ht="18.75" customHeight="1" x14ac:dyDescent="0.35">
      <c r="B40" s="8"/>
    </row>
    <row r="41" spans="2:2" ht="18.75" customHeight="1" x14ac:dyDescent="0.35">
      <c r="B41" s="8"/>
    </row>
    <row r="42" spans="2:2" ht="18.75" customHeight="1" x14ac:dyDescent="0.35">
      <c r="B42" s="8"/>
    </row>
    <row r="43" spans="2:2" ht="18.75" customHeight="1" x14ac:dyDescent="0.35">
      <c r="B43" s="8"/>
    </row>
    <row r="44" spans="2:2" ht="18.75" customHeight="1" x14ac:dyDescent="0.35">
      <c r="B44" s="8"/>
    </row>
    <row r="45" spans="2:2" ht="18.75" customHeight="1" x14ac:dyDescent="0.35">
      <c r="B45" s="8"/>
    </row>
    <row r="46" spans="2:2" ht="18.75" customHeight="1" x14ac:dyDescent="0.35">
      <c r="B46" s="8"/>
    </row>
    <row r="47" spans="2:2" ht="18.75" customHeight="1" x14ac:dyDescent="0.35">
      <c r="B47" s="8"/>
    </row>
    <row r="48" spans="2:2" ht="18.75" customHeight="1" x14ac:dyDescent="0.35">
      <c r="B48" s="8"/>
    </row>
    <row r="49" spans="2:2" ht="18.75" customHeight="1" x14ac:dyDescent="0.35">
      <c r="B49" s="8"/>
    </row>
    <row r="50" spans="2:2" ht="18.75" customHeight="1" x14ac:dyDescent="0.35">
      <c r="B50" s="8"/>
    </row>
    <row r="51" spans="2:2" ht="18.75" customHeight="1" x14ac:dyDescent="0.35">
      <c r="B51" s="8"/>
    </row>
    <row r="52" spans="2:2" ht="18.75" customHeight="1" x14ac:dyDescent="0.35">
      <c r="B52" s="8"/>
    </row>
    <row r="53" spans="2:2" ht="18.75" customHeight="1" x14ac:dyDescent="0.35">
      <c r="B53" s="8"/>
    </row>
    <row r="54" spans="2:2" ht="18.75" customHeight="1" x14ac:dyDescent="0.35">
      <c r="B54" s="8"/>
    </row>
    <row r="55" spans="2:2" ht="18.75" customHeight="1" x14ac:dyDescent="0.35">
      <c r="B55" s="8"/>
    </row>
    <row r="56" spans="2:2" ht="18.75" customHeight="1" x14ac:dyDescent="0.35">
      <c r="B56" s="8"/>
    </row>
    <row r="57" spans="2:2" ht="18.75" customHeight="1" x14ac:dyDescent="0.35">
      <c r="B57" s="8"/>
    </row>
    <row r="58" spans="2:2" ht="18.75" customHeight="1" x14ac:dyDescent="0.35">
      <c r="B58" s="8"/>
    </row>
    <row r="59" spans="2:2" ht="18.75" customHeight="1" x14ac:dyDescent="0.35">
      <c r="B59" s="8"/>
    </row>
    <row r="60" spans="2:2" ht="18.75" customHeight="1" x14ac:dyDescent="0.35">
      <c r="B60" s="8"/>
    </row>
    <row r="61" spans="2:2" ht="18.75" customHeight="1" x14ac:dyDescent="0.35">
      <c r="B61" s="8"/>
    </row>
    <row r="62" spans="2:2" ht="18.75" customHeight="1" x14ac:dyDescent="0.35">
      <c r="B62" s="8"/>
    </row>
    <row r="63" spans="2:2" ht="18.75" customHeight="1" x14ac:dyDescent="0.35">
      <c r="B63" s="8"/>
    </row>
    <row r="64" spans="2:2" ht="18.75" customHeight="1" x14ac:dyDescent="0.35">
      <c r="B64" s="8"/>
    </row>
    <row r="65" spans="2:2" ht="18.75" customHeight="1" x14ac:dyDescent="0.35">
      <c r="B65" s="8"/>
    </row>
    <row r="66" spans="2:2" ht="18.75" customHeight="1" x14ac:dyDescent="0.35">
      <c r="B66" s="8"/>
    </row>
    <row r="67" spans="2:2" ht="18.75" customHeight="1" x14ac:dyDescent="0.35">
      <c r="B67" s="8"/>
    </row>
    <row r="68" spans="2:2" ht="18.75" customHeight="1" x14ac:dyDescent="0.35">
      <c r="B68" s="8"/>
    </row>
    <row r="69" spans="2:2" ht="18.75" customHeight="1" x14ac:dyDescent="0.35">
      <c r="B69" s="8"/>
    </row>
    <row r="70" spans="2:2" ht="18.75" customHeight="1" x14ac:dyDescent="0.35">
      <c r="B70" s="8"/>
    </row>
    <row r="71" spans="2:2" ht="18.75" customHeight="1" x14ac:dyDescent="0.35">
      <c r="B71" s="8"/>
    </row>
    <row r="72" spans="2:2" ht="18.75" customHeight="1" x14ac:dyDescent="0.35">
      <c r="B72" s="8"/>
    </row>
    <row r="73" spans="2:2" ht="18.75" customHeight="1" x14ac:dyDescent="0.35">
      <c r="B73" s="8"/>
    </row>
    <row r="74" spans="2:2" ht="18.75" customHeight="1" x14ac:dyDescent="0.35">
      <c r="B74" s="8"/>
    </row>
    <row r="75" spans="2:2" ht="18.75" customHeight="1" x14ac:dyDescent="0.35">
      <c r="B75" s="8"/>
    </row>
    <row r="76" spans="2:2" ht="18.75" customHeight="1" x14ac:dyDescent="0.35">
      <c r="B76" s="8"/>
    </row>
    <row r="77" spans="2:2" ht="18.75" customHeight="1" x14ac:dyDescent="0.35">
      <c r="B77" s="8"/>
    </row>
    <row r="78" spans="2:2" ht="18.75" customHeight="1" x14ac:dyDescent="0.35">
      <c r="B78" s="8"/>
    </row>
    <row r="79" spans="2:2" ht="18.75" customHeight="1" x14ac:dyDescent="0.35">
      <c r="B79" s="8"/>
    </row>
    <row r="80" spans="2:2" ht="18.75" customHeight="1" x14ac:dyDescent="0.35">
      <c r="B80" s="8"/>
    </row>
    <row r="81" spans="2:2" ht="18.75" customHeight="1" x14ac:dyDescent="0.35">
      <c r="B81" s="8"/>
    </row>
    <row r="82" spans="2:2" ht="18.75" customHeight="1" x14ac:dyDescent="0.35">
      <c r="B82" s="8"/>
    </row>
    <row r="83" spans="2:2" ht="18.75" customHeight="1" x14ac:dyDescent="0.35">
      <c r="B83" s="8"/>
    </row>
    <row r="84" spans="2:2" ht="18.75" customHeight="1" x14ac:dyDescent="0.35">
      <c r="B84" s="8"/>
    </row>
    <row r="85" spans="2:2" ht="18.75" customHeight="1" x14ac:dyDescent="0.35">
      <c r="B85" s="8"/>
    </row>
    <row r="86" spans="2:2" ht="18.75" customHeight="1" x14ac:dyDescent="0.35">
      <c r="B86" s="8"/>
    </row>
    <row r="87" spans="2:2" ht="18.75" customHeight="1" x14ac:dyDescent="0.35">
      <c r="B87" s="8"/>
    </row>
    <row r="88" spans="2:2" ht="18.75" customHeight="1" x14ac:dyDescent="0.35">
      <c r="B88" s="8"/>
    </row>
    <row r="89" spans="2:2" ht="18.75" customHeight="1" x14ac:dyDescent="0.35">
      <c r="B89" s="8"/>
    </row>
    <row r="90" spans="2:2" ht="18.75" customHeight="1" x14ac:dyDescent="0.35">
      <c r="B90" s="8"/>
    </row>
    <row r="91" spans="2:2" ht="18.75" customHeight="1" x14ac:dyDescent="0.35">
      <c r="B91" s="8"/>
    </row>
    <row r="92" spans="2:2" ht="18.75" customHeight="1" x14ac:dyDescent="0.35">
      <c r="B92" s="8"/>
    </row>
    <row r="93" spans="2:2" ht="18.75" customHeight="1" x14ac:dyDescent="0.35">
      <c r="B93" s="8"/>
    </row>
    <row r="94" spans="2:2" ht="18.75" customHeight="1" x14ac:dyDescent="0.35">
      <c r="B94" s="8"/>
    </row>
    <row r="95" spans="2:2" ht="18.75" customHeight="1" x14ac:dyDescent="0.35">
      <c r="B95" s="8"/>
    </row>
    <row r="96" spans="2:2" ht="18.75" customHeight="1" x14ac:dyDescent="0.35">
      <c r="B96" s="8"/>
    </row>
    <row r="97" spans="2:2" ht="18.75" customHeight="1" x14ac:dyDescent="0.35">
      <c r="B97" s="8"/>
    </row>
    <row r="98" spans="2:2" ht="18.75" customHeight="1" x14ac:dyDescent="0.35">
      <c r="B98" s="8"/>
    </row>
    <row r="99" spans="2:2" ht="18.75" customHeight="1" x14ac:dyDescent="0.35">
      <c r="B99" s="8"/>
    </row>
    <row r="100" spans="2:2" ht="18.75" customHeight="1" x14ac:dyDescent="0.35">
      <c r="B100" s="8"/>
    </row>
    <row r="101" spans="2:2" ht="18.75" customHeight="1" x14ac:dyDescent="0.35">
      <c r="B101" s="8"/>
    </row>
    <row r="102" spans="2:2" ht="18.75" customHeight="1" x14ac:dyDescent="0.35">
      <c r="B102" s="8"/>
    </row>
    <row r="103" spans="2:2" ht="18.75" customHeight="1" x14ac:dyDescent="0.35">
      <c r="B103" s="8"/>
    </row>
    <row r="104" spans="2:2" ht="18.75" customHeight="1" x14ac:dyDescent="0.35">
      <c r="B104" s="8"/>
    </row>
    <row r="105" spans="2:2" ht="18.75" customHeight="1" x14ac:dyDescent="0.35">
      <c r="B105" s="8"/>
    </row>
    <row r="106" spans="2:2" ht="18.75" customHeight="1" x14ac:dyDescent="0.35">
      <c r="B106" s="8"/>
    </row>
    <row r="107" spans="2:2" ht="18.75" customHeight="1" x14ac:dyDescent="0.35">
      <c r="B107" s="8"/>
    </row>
    <row r="108" spans="2:2" ht="18.75" customHeight="1" x14ac:dyDescent="0.35">
      <c r="B108" s="8"/>
    </row>
    <row r="109" spans="2:2" ht="18.75" customHeight="1" x14ac:dyDescent="0.35">
      <c r="B109" s="8"/>
    </row>
    <row r="110" spans="2:2" ht="18.75" customHeight="1" x14ac:dyDescent="0.35">
      <c r="B110" s="8"/>
    </row>
    <row r="111" spans="2:2" ht="18.75" customHeight="1" x14ac:dyDescent="0.35">
      <c r="B111" s="8"/>
    </row>
    <row r="112" spans="2:2" ht="18.75" customHeight="1" x14ac:dyDescent="0.35">
      <c r="B112" s="8"/>
    </row>
    <row r="113" spans="2:2" ht="18.75" customHeight="1" x14ac:dyDescent="0.35">
      <c r="B113" s="8"/>
    </row>
    <row r="114" spans="2:2" ht="18.75" customHeight="1" x14ac:dyDescent="0.35">
      <c r="B114" s="8"/>
    </row>
    <row r="115" spans="2:2" ht="18.75" customHeight="1" x14ac:dyDescent="0.35">
      <c r="B115" s="8"/>
    </row>
    <row r="116" spans="2:2" ht="18.75" customHeight="1" x14ac:dyDescent="0.35">
      <c r="B116" s="8"/>
    </row>
    <row r="117" spans="2:2" ht="18.75" customHeight="1" x14ac:dyDescent="0.35">
      <c r="B117" s="8"/>
    </row>
    <row r="118" spans="2:2" ht="18.75" customHeight="1" x14ac:dyDescent="0.35">
      <c r="B118" s="8"/>
    </row>
    <row r="119" spans="2:2" ht="18.75" customHeight="1" x14ac:dyDescent="0.35">
      <c r="B119" s="8"/>
    </row>
    <row r="120" spans="2:2" ht="18.75" customHeight="1" x14ac:dyDescent="0.35">
      <c r="B120" s="8"/>
    </row>
    <row r="121" spans="2:2" ht="18.75" customHeight="1" x14ac:dyDescent="0.35">
      <c r="B121" s="8"/>
    </row>
    <row r="122" spans="2:2" ht="18.75" customHeight="1" x14ac:dyDescent="0.35">
      <c r="B122" s="8"/>
    </row>
    <row r="123" spans="2:2" ht="18.75" customHeight="1" x14ac:dyDescent="0.35">
      <c r="B123" s="8"/>
    </row>
    <row r="124" spans="2:2" ht="18.75" customHeight="1" x14ac:dyDescent="0.35">
      <c r="B124" s="8"/>
    </row>
    <row r="125" spans="2:2" ht="18.75" customHeight="1" x14ac:dyDescent="0.35">
      <c r="B125" s="8"/>
    </row>
    <row r="126" spans="2:2" ht="18.75" customHeight="1" x14ac:dyDescent="0.35">
      <c r="B126" s="8"/>
    </row>
    <row r="127" spans="2:2" ht="18.75" customHeight="1" x14ac:dyDescent="0.35">
      <c r="B127" s="8"/>
    </row>
    <row r="128" spans="2:2" ht="18.75" customHeight="1" x14ac:dyDescent="0.35">
      <c r="B128" s="8"/>
    </row>
    <row r="129" spans="2:2" ht="18.75" customHeight="1" x14ac:dyDescent="0.35">
      <c r="B129" s="8"/>
    </row>
    <row r="130" spans="2:2" ht="18.75" customHeight="1" x14ac:dyDescent="0.35">
      <c r="B130" s="8"/>
    </row>
    <row r="131" spans="2:2" ht="18.75" customHeight="1" x14ac:dyDescent="0.35">
      <c r="B131" s="8"/>
    </row>
    <row r="132" spans="2:2" ht="18.75" customHeight="1" x14ac:dyDescent="0.35">
      <c r="B132" s="8"/>
    </row>
    <row r="133" spans="2:2" ht="18.75" customHeight="1" x14ac:dyDescent="0.35">
      <c r="B133" s="8"/>
    </row>
    <row r="134" spans="2:2" ht="18.75" customHeight="1" x14ac:dyDescent="0.35">
      <c r="B134" s="8"/>
    </row>
    <row r="135" spans="2:2" ht="18.75" customHeight="1" x14ac:dyDescent="0.35">
      <c r="B135" s="8"/>
    </row>
    <row r="136" spans="2:2" ht="18.75" customHeight="1" x14ac:dyDescent="0.35">
      <c r="B136" s="8"/>
    </row>
    <row r="137" spans="2:2" ht="18.75" customHeight="1" x14ac:dyDescent="0.35">
      <c r="B137" s="8"/>
    </row>
    <row r="138" spans="2:2" ht="18.75" customHeight="1" x14ac:dyDescent="0.35">
      <c r="B138" s="8"/>
    </row>
    <row r="139" spans="2:2" ht="18.75" customHeight="1" x14ac:dyDescent="0.35">
      <c r="B139" s="8"/>
    </row>
    <row r="140" spans="2:2" ht="18.75" customHeight="1" x14ac:dyDescent="0.35">
      <c r="B140" s="8"/>
    </row>
    <row r="141" spans="2:2" ht="18.75" customHeight="1" x14ac:dyDescent="0.35">
      <c r="B141" s="8"/>
    </row>
    <row r="142" spans="2:2" ht="18.75" customHeight="1" x14ac:dyDescent="0.35">
      <c r="B142" s="8"/>
    </row>
    <row r="143" spans="2:2" ht="18.75" customHeight="1" x14ac:dyDescent="0.35">
      <c r="B143" s="8"/>
    </row>
    <row r="144" spans="2:2" ht="18.75" customHeight="1" x14ac:dyDescent="0.35">
      <c r="B144" s="8"/>
    </row>
    <row r="145" spans="2:2" ht="18.75" customHeight="1" x14ac:dyDescent="0.35">
      <c r="B145" s="8"/>
    </row>
    <row r="146" spans="2:2" ht="18.75" customHeight="1" x14ac:dyDescent="0.35">
      <c r="B146" s="8"/>
    </row>
    <row r="147" spans="2:2" ht="18.75" customHeight="1" x14ac:dyDescent="0.35">
      <c r="B147" s="8"/>
    </row>
    <row r="148" spans="2:2" ht="18.75" customHeight="1" x14ac:dyDescent="0.35">
      <c r="B148" s="8"/>
    </row>
    <row r="149" spans="2:2" ht="18.75" customHeight="1" x14ac:dyDescent="0.35">
      <c r="B149" s="8"/>
    </row>
    <row r="150" spans="2:2" ht="18.75" customHeight="1" x14ac:dyDescent="0.35">
      <c r="B150" s="8"/>
    </row>
    <row r="151" spans="2:2" ht="18.75" customHeight="1" x14ac:dyDescent="0.35">
      <c r="B151" s="8"/>
    </row>
    <row r="152" spans="2:2" ht="18.75" customHeight="1" x14ac:dyDescent="0.35">
      <c r="B152" s="8"/>
    </row>
    <row r="153" spans="2:2" ht="18.75" customHeight="1" x14ac:dyDescent="0.35">
      <c r="B153" s="8"/>
    </row>
    <row r="154" spans="2:2" ht="18.75" customHeight="1" x14ac:dyDescent="0.35">
      <c r="B154" s="8"/>
    </row>
    <row r="155" spans="2:2" ht="18.75" customHeight="1" x14ac:dyDescent="0.35">
      <c r="B155" s="8"/>
    </row>
    <row r="156" spans="2:2" ht="18.75" customHeight="1" x14ac:dyDescent="0.35">
      <c r="B156" s="8"/>
    </row>
    <row r="157" spans="2:2" ht="18.75" customHeight="1" x14ac:dyDescent="0.35">
      <c r="B157" s="8"/>
    </row>
    <row r="158" spans="2:2" ht="18.75" customHeight="1" x14ac:dyDescent="0.35">
      <c r="B158" s="8"/>
    </row>
    <row r="159" spans="2:2" ht="18.75" customHeight="1" x14ac:dyDescent="0.35">
      <c r="B159" s="8"/>
    </row>
    <row r="160" spans="2:2" ht="18.75" customHeight="1" x14ac:dyDescent="0.35">
      <c r="B160" s="8"/>
    </row>
    <row r="161" spans="2:2" ht="18.75" customHeight="1" x14ac:dyDescent="0.35">
      <c r="B161" s="8"/>
    </row>
    <row r="162" spans="2:2" ht="18.75" customHeight="1" x14ac:dyDescent="0.35">
      <c r="B162" s="8"/>
    </row>
    <row r="163" spans="2:2" ht="18.75" customHeight="1" x14ac:dyDescent="0.35">
      <c r="B163" s="8"/>
    </row>
    <row r="164" spans="2:2" ht="18.75" customHeight="1" x14ac:dyDescent="0.35">
      <c r="B164" s="8"/>
    </row>
    <row r="165" spans="2:2" ht="18.75" customHeight="1" x14ac:dyDescent="0.35">
      <c r="B165" s="8"/>
    </row>
    <row r="166" spans="2:2" ht="18.75" customHeight="1" x14ac:dyDescent="0.35">
      <c r="B166" s="8"/>
    </row>
    <row r="167" spans="2:2" ht="18.75" customHeight="1" x14ac:dyDescent="0.35">
      <c r="B167" s="8"/>
    </row>
    <row r="168" spans="2:2" ht="18.75" customHeight="1" x14ac:dyDescent="0.35">
      <c r="B168" s="8"/>
    </row>
    <row r="169" spans="2:2" ht="18.75" customHeight="1" x14ac:dyDescent="0.35">
      <c r="B169" s="8"/>
    </row>
    <row r="170" spans="2:2" ht="18.75" customHeight="1" x14ac:dyDescent="0.35">
      <c r="B170" s="8"/>
    </row>
    <row r="171" spans="2:2" ht="18.75" customHeight="1" x14ac:dyDescent="0.35">
      <c r="B171" s="8"/>
    </row>
    <row r="172" spans="2:2" ht="18.75" customHeight="1" x14ac:dyDescent="0.35">
      <c r="B172" s="8"/>
    </row>
    <row r="173" spans="2:2" ht="18.75" customHeight="1" x14ac:dyDescent="0.35">
      <c r="B173" s="8"/>
    </row>
    <row r="174" spans="2:2" ht="18.75" customHeight="1" x14ac:dyDescent="0.35">
      <c r="B174" s="8"/>
    </row>
    <row r="175" spans="2:2" ht="18.75" customHeight="1" x14ac:dyDescent="0.35">
      <c r="B175" s="8"/>
    </row>
    <row r="176" spans="2:2" ht="18.75" customHeight="1" x14ac:dyDescent="0.35">
      <c r="B176" s="8"/>
    </row>
    <row r="177" spans="2:2" ht="18.75" customHeight="1" x14ac:dyDescent="0.35">
      <c r="B177" s="8"/>
    </row>
    <row r="178" spans="2:2" ht="18.75" customHeight="1" x14ac:dyDescent="0.35">
      <c r="B178" s="8"/>
    </row>
    <row r="179" spans="2:2" ht="18.75" customHeight="1" x14ac:dyDescent="0.35">
      <c r="B179" s="8"/>
    </row>
    <row r="180" spans="2:2" ht="18.75" customHeight="1" x14ac:dyDescent="0.35">
      <c r="B180" s="8"/>
    </row>
    <row r="181" spans="2:2" ht="18.75" customHeight="1" x14ac:dyDescent="0.35">
      <c r="B181" s="8"/>
    </row>
    <row r="182" spans="2:2" ht="18.75" customHeight="1" x14ac:dyDescent="0.35">
      <c r="B182" s="8"/>
    </row>
    <row r="183" spans="2:2" ht="18.75" customHeight="1" x14ac:dyDescent="0.35">
      <c r="B183" s="8"/>
    </row>
    <row r="184" spans="2:2" ht="18.75" customHeight="1" x14ac:dyDescent="0.35">
      <c r="B184" s="8"/>
    </row>
    <row r="185" spans="2:2" ht="18.75" customHeight="1" x14ac:dyDescent="0.35">
      <c r="B185" s="8"/>
    </row>
    <row r="186" spans="2:2" ht="18.75" customHeight="1" x14ac:dyDescent="0.35">
      <c r="B186" s="8"/>
    </row>
    <row r="187" spans="2:2" ht="18.75" customHeight="1" x14ac:dyDescent="0.35">
      <c r="B187" s="8"/>
    </row>
    <row r="188" spans="2:2" ht="18.75" customHeight="1" x14ac:dyDescent="0.35">
      <c r="B188" s="8"/>
    </row>
    <row r="189" spans="2:2" ht="18.75" customHeight="1" x14ac:dyDescent="0.35">
      <c r="B189" s="8"/>
    </row>
    <row r="190" spans="2:2" ht="18.75" customHeight="1" x14ac:dyDescent="0.35">
      <c r="B190" s="8"/>
    </row>
    <row r="191" spans="2:2" ht="18.75" customHeight="1" x14ac:dyDescent="0.35">
      <c r="B191" s="8"/>
    </row>
    <row r="192" spans="2:2" ht="18.75" customHeight="1" x14ac:dyDescent="0.35">
      <c r="B192" s="8"/>
    </row>
    <row r="193" spans="2:2" ht="18.75" customHeight="1" x14ac:dyDescent="0.35">
      <c r="B193" s="8"/>
    </row>
    <row r="194" spans="2:2" ht="18.75" customHeight="1" x14ac:dyDescent="0.35">
      <c r="B194" s="8"/>
    </row>
    <row r="195" spans="2:2" ht="18.75" customHeight="1" x14ac:dyDescent="0.35">
      <c r="B195" s="8"/>
    </row>
    <row r="196" spans="2:2" ht="18.75" customHeight="1" x14ac:dyDescent="0.35">
      <c r="B196" s="8"/>
    </row>
    <row r="197" spans="2:2" ht="18.75" customHeight="1" x14ac:dyDescent="0.35">
      <c r="B197" s="8"/>
    </row>
    <row r="198" spans="2:2" ht="18.75" customHeight="1" x14ac:dyDescent="0.35">
      <c r="B198" s="8"/>
    </row>
    <row r="199" spans="2:2" ht="18.75" customHeight="1" x14ac:dyDescent="0.35">
      <c r="B199" s="8"/>
    </row>
    <row r="200" spans="2:2" ht="18.75" customHeight="1" x14ac:dyDescent="0.35">
      <c r="B200" s="8"/>
    </row>
    <row r="201" spans="2:2" ht="18.75" customHeight="1" x14ac:dyDescent="0.35">
      <c r="B201" s="8"/>
    </row>
    <row r="202" spans="2:2" ht="18.75" customHeight="1" x14ac:dyDescent="0.35">
      <c r="B202" s="8"/>
    </row>
    <row r="203" spans="2:2" ht="18.75" customHeight="1" x14ac:dyDescent="0.35">
      <c r="B203" s="8"/>
    </row>
    <row r="204" spans="2:2" ht="18.75" customHeight="1" x14ac:dyDescent="0.35">
      <c r="B204" s="8"/>
    </row>
    <row r="205" spans="2:2" ht="18.75" customHeight="1" x14ac:dyDescent="0.35">
      <c r="B205" s="8"/>
    </row>
    <row r="206" spans="2:2" ht="18.75" customHeight="1" x14ac:dyDescent="0.35">
      <c r="B206" s="8"/>
    </row>
    <row r="207" spans="2:2" ht="18.75" customHeight="1" x14ac:dyDescent="0.35">
      <c r="B207" s="8"/>
    </row>
    <row r="208" spans="2:2" ht="18.75" customHeight="1" x14ac:dyDescent="0.35">
      <c r="B208" s="8"/>
    </row>
    <row r="209" spans="2:2" ht="18.75" customHeight="1" x14ac:dyDescent="0.35">
      <c r="B209" s="8"/>
    </row>
    <row r="210" spans="2:2" ht="18.75" customHeight="1" x14ac:dyDescent="0.35">
      <c r="B210" s="8"/>
    </row>
    <row r="211" spans="2:2" ht="18.75" customHeight="1" x14ac:dyDescent="0.35">
      <c r="B211" s="8"/>
    </row>
    <row r="212" spans="2:2" ht="18.75" customHeight="1" x14ac:dyDescent="0.35">
      <c r="B212" s="8"/>
    </row>
    <row r="213" spans="2:2" ht="18.75" customHeight="1" x14ac:dyDescent="0.35">
      <c r="B213" s="8"/>
    </row>
    <row r="214" spans="2:2" ht="18.75" customHeight="1" x14ac:dyDescent="0.35">
      <c r="B214" s="8"/>
    </row>
    <row r="215" spans="2:2" ht="18.75" customHeight="1" x14ac:dyDescent="0.35">
      <c r="B215" s="8"/>
    </row>
    <row r="216" spans="2:2" ht="18.75" customHeight="1" x14ac:dyDescent="0.35">
      <c r="B216" s="8"/>
    </row>
    <row r="217" spans="2:2" ht="18.75" customHeight="1" x14ac:dyDescent="0.35">
      <c r="B217" s="8"/>
    </row>
    <row r="218" spans="2:2" ht="18.75" customHeight="1" x14ac:dyDescent="0.35">
      <c r="B218" s="8"/>
    </row>
    <row r="219" spans="2:2" ht="18.75" customHeight="1" x14ac:dyDescent="0.35">
      <c r="B219" s="8"/>
    </row>
    <row r="220" spans="2:2" ht="18.75" customHeight="1" x14ac:dyDescent="0.35">
      <c r="B220" s="8"/>
    </row>
    <row r="221" spans="2:2" ht="18.75" customHeight="1" x14ac:dyDescent="0.35">
      <c r="B221" s="8"/>
    </row>
    <row r="222" spans="2:2" ht="18.75" customHeight="1" x14ac:dyDescent="0.35">
      <c r="B222" s="8"/>
    </row>
    <row r="223" spans="2:2" ht="18.75" customHeight="1" x14ac:dyDescent="0.35">
      <c r="B223" s="8"/>
    </row>
    <row r="224" spans="2:2" ht="18.75" customHeight="1" x14ac:dyDescent="0.35">
      <c r="B224" s="8"/>
    </row>
    <row r="225" spans="2:2" ht="18.75" customHeight="1" x14ac:dyDescent="0.35">
      <c r="B225" s="8"/>
    </row>
    <row r="226" spans="2:2" ht="18.75" customHeight="1" x14ac:dyDescent="0.35">
      <c r="B226" s="8"/>
    </row>
    <row r="227" spans="2:2" ht="18.75" customHeight="1" x14ac:dyDescent="0.35">
      <c r="B227" s="8"/>
    </row>
    <row r="228" spans="2:2" ht="18.75" customHeight="1" x14ac:dyDescent="0.35">
      <c r="B228" s="8"/>
    </row>
    <row r="229" spans="2:2" ht="18.75" customHeight="1" x14ac:dyDescent="0.35">
      <c r="B229" s="8"/>
    </row>
    <row r="230" spans="2:2" ht="18.75" customHeight="1" x14ac:dyDescent="0.35">
      <c r="B230" s="8"/>
    </row>
    <row r="231" spans="2:2" ht="18.75" customHeight="1" x14ac:dyDescent="0.35">
      <c r="B231" s="8"/>
    </row>
    <row r="232" spans="2:2" ht="18.75" customHeight="1" x14ac:dyDescent="0.35">
      <c r="B232" s="8"/>
    </row>
    <row r="233" spans="2:2" ht="18.75" customHeight="1" x14ac:dyDescent="0.35">
      <c r="B233" s="8"/>
    </row>
    <row r="234" spans="2:2" ht="18.75" customHeight="1" x14ac:dyDescent="0.35">
      <c r="B234" s="8"/>
    </row>
    <row r="235" spans="2:2" ht="18.75" customHeight="1" x14ac:dyDescent="0.35">
      <c r="B235" s="8"/>
    </row>
    <row r="236" spans="2:2" ht="18.75" customHeight="1" x14ac:dyDescent="0.35">
      <c r="B236" s="8"/>
    </row>
    <row r="237" spans="2:2" ht="18.75" customHeight="1" x14ac:dyDescent="0.35">
      <c r="B237" s="8"/>
    </row>
    <row r="238" spans="2:2" ht="18.75" customHeight="1" x14ac:dyDescent="0.35">
      <c r="B238" s="8"/>
    </row>
    <row r="239" spans="2:2" ht="18.75" customHeight="1" x14ac:dyDescent="0.35">
      <c r="B239" s="8"/>
    </row>
    <row r="240" spans="2:2" ht="18.75" customHeight="1" x14ac:dyDescent="0.35">
      <c r="B240" s="8"/>
    </row>
    <row r="241" spans="2:2" ht="18.75" customHeight="1" x14ac:dyDescent="0.35">
      <c r="B241" s="8"/>
    </row>
    <row r="242" spans="2:2" ht="18.75" customHeight="1" x14ac:dyDescent="0.35">
      <c r="B242" s="8"/>
    </row>
    <row r="243" spans="2:2" ht="18.75" customHeight="1" x14ac:dyDescent="0.35">
      <c r="B243" s="8"/>
    </row>
    <row r="244" spans="2:2" ht="18.75" customHeight="1" x14ac:dyDescent="0.35">
      <c r="B244" s="8"/>
    </row>
    <row r="245" spans="2:2" ht="18.75" customHeight="1" x14ac:dyDescent="0.35">
      <c r="B245" s="8"/>
    </row>
    <row r="246" spans="2:2" ht="18.75" customHeight="1" x14ac:dyDescent="0.35">
      <c r="B246" s="8"/>
    </row>
    <row r="247" spans="2:2" ht="18.75" customHeight="1" x14ac:dyDescent="0.35">
      <c r="B247" s="8"/>
    </row>
    <row r="248" spans="2:2" ht="18.75" customHeight="1" x14ac:dyDescent="0.35">
      <c r="B248" s="8"/>
    </row>
    <row r="249" spans="2:2" ht="18.75" customHeight="1" x14ac:dyDescent="0.35">
      <c r="B249" s="8"/>
    </row>
    <row r="250" spans="2:2" ht="18.75" customHeight="1" x14ac:dyDescent="0.35">
      <c r="B250" s="8"/>
    </row>
    <row r="251" spans="2:2" ht="18.75" customHeight="1" x14ac:dyDescent="0.35">
      <c r="B251" s="8"/>
    </row>
    <row r="252" spans="2:2" ht="18.75" customHeight="1" x14ac:dyDescent="0.35">
      <c r="B252" s="8"/>
    </row>
    <row r="253" spans="2:2" ht="18.75" customHeight="1" x14ac:dyDescent="0.35">
      <c r="B253" s="8"/>
    </row>
    <row r="254" spans="2:2" ht="18.75" customHeight="1" x14ac:dyDescent="0.35">
      <c r="B254" s="8"/>
    </row>
    <row r="255" spans="2:2" ht="18.75" customHeight="1" x14ac:dyDescent="0.35">
      <c r="B255" s="8"/>
    </row>
    <row r="256" spans="2:2" ht="18.75" customHeight="1" x14ac:dyDescent="0.35">
      <c r="B256" s="8"/>
    </row>
    <row r="257" spans="2:2" ht="18.75" customHeight="1" x14ac:dyDescent="0.35">
      <c r="B257" s="8"/>
    </row>
    <row r="258" spans="2:2" ht="18.75" customHeight="1" x14ac:dyDescent="0.35">
      <c r="B258" s="8"/>
    </row>
    <row r="259" spans="2:2" ht="18.75" customHeight="1" x14ac:dyDescent="0.35">
      <c r="B259" s="8"/>
    </row>
    <row r="260" spans="2:2" ht="18.75" customHeight="1" x14ac:dyDescent="0.35">
      <c r="B260" s="8"/>
    </row>
    <row r="261" spans="2:2" ht="18.75" customHeight="1" x14ac:dyDescent="0.35">
      <c r="B261" s="8"/>
    </row>
    <row r="262" spans="2:2" ht="18.75" customHeight="1" x14ac:dyDescent="0.35">
      <c r="B262" s="8"/>
    </row>
    <row r="263" spans="2:2" ht="18.75" customHeight="1" x14ac:dyDescent="0.35">
      <c r="B263" s="8"/>
    </row>
    <row r="264" spans="2:2" ht="18.75" customHeight="1" x14ac:dyDescent="0.35">
      <c r="B264" s="8"/>
    </row>
    <row r="265" spans="2:2" ht="18.75" customHeight="1" x14ac:dyDescent="0.35">
      <c r="B265" s="8"/>
    </row>
    <row r="266" spans="2:2" ht="18.75" customHeight="1" x14ac:dyDescent="0.35">
      <c r="B266" s="8"/>
    </row>
    <row r="267" spans="2:2" ht="18.75" customHeight="1" x14ac:dyDescent="0.35">
      <c r="B267" s="8"/>
    </row>
    <row r="268" spans="2:2" ht="18.75" customHeight="1" x14ac:dyDescent="0.35">
      <c r="B268" s="8"/>
    </row>
    <row r="269" spans="2:2" ht="18.75" customHeight="1" x14ac:dyDescent="0.35">
      <c r="B269" s="8"/>
    </row>
    <row r="270" spans="2:2" ht="18.75" customHeight="1" x14ac:dyDescent="0.35">
      <c r="B270" s="8"/>
    </row>
    <row r="271" spans="2:2" ht="18.75" customHeight="1" x14ac:dyDescent="0.35">
      <c r="B271" s="8"/>
    </row>
    <row r="272" spans="2:2" ht="18.75" customHeight="1" x14ac:dyDescent="0.35">
      <c r="B272" s="8"/>
    </row>
    <row r="273" spans="2:2" ht="18.75" customHeight="1" x14ac:dyDescent="0.35">
      <c r="B273" s="8"/>
    </row>
    <row r="274" spans="2:2" ht="18.75" customHeight="1" x14ac:dyDescent="0.35">
      <c r="B274" s="8"/>
    </row>
    <row r="275" spans="2:2" ht="18.75" customHeight="1" x14ac:dyDescent="0.35">
      <c r="B275" s="8"/>
    </row>
    <row r="276" spans="2:2" ht="18.75" customHeight="1" x14ac:dyDescent="0.35">
      <c r="B276" s="8"/>
    </row>
    <row r="277" spans="2:2" ht="18.75" customHeight="1" x14ac:dyDescent="0.35">
      <c r="B277" s="8"/>
    </row>
    <row r="278" spans="2:2" ht="18.75" customHeight="1" x14ac:dyDescent="0.35">
      <c r="B278" s="8"/>
    </row>
    <row r="279" spans="2:2" ht="18.75" customHeight="1" x14ac:dyDescent="0.35">
      <c r="B279" s="8"/>
    </row>
    <row r="280" spans="2:2" ht="18.75" customHeight="1" x14ac:dyDescent="0.35">
      <c r="B280" s="8"/>
    </row>
    <row r="281" spans="2:2" ht="18.75" customHeight="1" x14ac:dyDescent="0.35">
      <c r="B281" s="8"/>
    </row>
    <row r="282" spans="2:2" ht="18.75" customHeight="1" x14ac:dyDescent="0.35">
      <c r="B282" s="8"/>
    </row>
    <row r="283" spans="2:2" ht="18.75" customHeight="1" x14ac:dyDescent="0.35">
      <c r="B283" s="8"/>
    </row>
    <row r="284" spans="2:2" ht="18.75" customHeight="1" x14ac:dyDescent="0.35">
      <c r="B284" s="8"/>
    </row>
    <row r="285" spans="2:2" ht="18.75" customHeight="1" x14ac:dyDescent="0.35">
      <c r="B285" s="8"/>
    </row>
    <row r="286" spans="2:2" ht="18.75" customHeight="1" x14ac:dyDescent="0.35">
      <c r="B286" s="8"/>
    </row>
    <row r="287" spans="2:2" ht="18.75" customHeight="1" x14ac:dyDescent="0.35">
      <c r="B287" s="8"/>
    </row>
    <row r="288" spans="2:2" ht="18.75" customHeight="1" x14ac:dyDescent="0.35">
      <c r="B288" s="8"/>
    </row>
    <row r="289" spans="2:2" ht="18.75" customHeight="1" x14ac:dyDescent="0.35">
      <c r="B289" s="8"/>
    </row>
    <row r="290" spans="2:2" ht="18.75" customHeight="1" x14ac:dyDescent="0.35"/>
  </sheetData>
  <sheetProtection algorithmName="SHA-512" hashValue="lO6KfdxN3zYH1tZkVsIUfRHHUi6ziZBIPwOKa8Bf++ndBhpOu4PjllFvIlUG269j/HcTHDdvzGfYvNFqFgYZcg==" saltValue="RbBdx+V4sxOg0qSQ0TICXg==" spinCount="100000" sheet="1" sort="0" autoFilter="0" pivotTables="0"/>
  <autoFilter ref="A3:D3" xr:uid="{7E3EBE48-323E-4C7F-A22E-32EFB174D8F4}">
    <sortState xmlns:xlrd2="http://schemas.microsoft.com/office/spreadsheetml/2017/richdata2" ref="A4:D17">
      <sortCondition ref="B3"/>
    </sortState>
  </autoFilter>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AE9D4-88A4-4A51-B72C-B59119C4D157}">
  <sheetPr codeName="Sheet5"/>
  <dimension ref="A1:S285"/>
  <sheetViews>
    <sheetView zoomScaleNormal="100" workbookViewId="0">
      <pane ySplit="3" topLeftCell="A4" activePane="bottomLeft" state="frozen"/>
      <selection activeCell="A12" sqref="A12:L22"/>
      <selection pane="bottomLeft" sqref="A1:C1"/>
    </sheetView>
  </sheetViews>
  <sheetFormatPr defaultRowHeight="18" x14ac:dyDescent="0.35"/>
  <cols>
    <col min="1" max="1" width="23.44140625" customWidth="1"/>
    <col min="2" max="2" width="28.109375" customWidth="1"/>
    <col min="3" max="3" width="47.44140625" customWidth="1"/>
    <col min="4" max="4" width="27.33203125" style="3" customWidth="1"/>
    <col min="5" max="5" width="18.6640625" style="4" customWidth="1"/>
    <col min="6" max="6" width="17.88671875" customWidth="1"/>
    <col min="7" max="7" width="20" customWidth="1"/>
    <col min="8" max="17" width="16" style="2" customWidth="1"/>
    <col min="18" max="18" width="21.33203125" customWidth="1"/>
    <col min="19" max="19" width="22.109375" style="3" customWidth="1"/>
  </cols>
  <sheetData>
    <row r="1" spans="1:19" ht="25.8" x14ac:dyDescent="0.5">
      <c r="A1" s="111" t="s">
        <v>344</v>
      </c>
      <c r="B1" s="112"/>
      <c r="C1" s="112"/>
      <c r="D1" s="46"/>
      <c r="E1" s="5">
        <v>2024</v>
      </c>
      <c r="F1" s="5">
        <v>2024</v>
      </c>
      <c r="G1" s="5">
        <v>2025</v>
      </c>
      <c r="H1" s="5">
        <v>2026</v>
      </c>
      <c r="I1" s="5">
        <v>2027</v>
      </c>
      <c r="J1" s="5">
        <v>2028</v>
      </c>
      <c r="K1" s="5">
        <v>2029</v>
      </c>
      <c r="L1" s="5">
        <v>2030</v>
      </c>
      <c r="M1" s="5">
        <v>2031</v>
      </c>
      <c r="N1" s="5">
        <v>2032</v>
      </c>
      <c r="O1" s="5">
        <v>2033</v>
      </c>
      <c r="P1" s="5">
        <v>2034</v>
      </c>
      <c r="Q1" s="5">
        <v>2035</v>
      </c>
      <c r="R1" s="3"/>
    </row>
    <row r="2" spans="1:19" s="1" customFormat="1" ht="17.399999999999999" x14ac:dyDescent="0.3">
      <c r="A2" s="11"/>
      <c r="B2" s="11"/>
      <c r="C2" s="11"/>
      <c r="D2" s="11"/>
      <c r="E2" s="15" t="s">
        <v>308</v>
      </c>
      <c r="F2" s="15" t="s">
        <v>308</v>
      </c>
      <c r="G2" s="15" t="s">
        <v>309</v>
      </c>
      <c r="H2" s="15" t="s">
        <v>309</v>
      </c>
      <c r="I2" s="15" t="s">
        <v>309</v>
      </c>
      <c r="J2" s="15" t="s">
        <v>309</v>
      </c>
      <c r="K2" s="15" t="s">
        <v>309</v>
      </c>
      <c r="L2" s="15" t="s">
        <v>309</v>
      </c>
      <c r="M2" s="15" t="s">
        <v>309</v>
      </c>
      <c r="N2" s="15" t="s">
        <v>309</v>
      </c>
      <c r="O2" s="15" t="s">
        <v>309</v>
      </c>
      <c r="P2" s="15" t="s">
        <v>309</v>
      </c>
      <c r="Q2" s="15" t="s">
        <v>309</v>
      </c>
      <c r="R2" s="11" t="s">
        <v>309</v>
      </c>
      <c r="S2" s="11"/>
    </row>
    <row r="3" spans="1:19" ht="52.2" x14ac:dyDescent="0.3">
      <c r="A3" s="11" t="s">
        <v>3</v>
      </c>
      <c r="B3" s="11" t="s">
        <v>310</v>
      </c>
      <c r="C3" s="11" t="s">
        <v>4</v>
      </c>
      <c r="D3" s="32" t="s">
        <v>317</v>
      </c>
      <c r="E3" s="18" t="s">
        <v>311</v>
      </c>
      <c r="F3" s="11" t="s">
        <v>312</v>
      </c>
      <c r="G3" s="11" t="s">
        <v>313</v>
      </c>
      <c r="H3" s="15" t="s">
        <v>314</v>
      </c>
      <c r="I3" s="15" t="s">
        <v>315</v>
      </c>
      <c r="J3" s="15" t="s">
        <v>321</v>
      </c>
      <c r="K3" s="15" t="s">
        <v>322</v>
      </c>
      <c r="L3" s="15" t="s">
        <v>323</v>
      </c>
      <c r="M3" s="15" t="s">
        <v>324</v>
      </c>
      <c r="N3" s="15" t="s">
        <v>325</v>
      </c>
      <c r="O3" s="15" t="s">
        <v>326</v>
      </c>
      <c r="P3" s="15" t="s">
        <v>327</v>
      </c>
      <c r="Q3" s="15" t="s">
        <v>328</v>
      </c>
      <c r="R3" s="17" t="s">
        <v>345</v>
      </c>
      <c r="S3" s="15" t="s">
        <v>13</v>
      </c>
    </row>
    <row r="4" spans="1:19" x14ac:dyDescent="0.35">
      <c r="A4" s="3" t="s">
        <v>14</v>
      </c>
      <c r="B4" s="16">
        <v>4.3760292217293543E-5</v>
      </c>
      <c r="C4" s="8" t="s">
        <v>15</v>
      </c>
      <c r="D4" s="8" t="s">
        <v>337</v>
      </c>
      <c r="E4" s="19">
        <v>0</v>
      </c>
      <c r="F4" s="19">
        <v>0</v>
      </c>
      <c r="G4" s="19">
        <v>0</v>
      </c>
      <c r="H4" s="19">
        <v>0</v>
      </c>
      <c r="I4" s="19">
        <v>0</v>
      </c>
      <c r="J4" s="19">
        <v>0</v>
      </c>
      <c r="K4" s="19">
        <v>0</v>
      </c>
      <c r="L4" s="19">
        <v>0</v>
      </c>
      <c r="M4" s="19">
        <v>0</v>
      </c>
      <c r="N4" s="19">
        <v>0</v>
      </c>
      <c r="O4" s="19">
        <v>0</v>
      </c>
      <c r="P4" s="19">
        <v>0</v>
      </c>
      <c r="Q4" s="19">
        <v>0</v>
      </c>
      <c r="R4" s="39" t="s">
        <v>346</v>
      </c>
      <c r="S4" s="7">
        <f t="shared" ref="S4:S67" si="0">SUM(E4:R4)</f>
        <v>0</v>
      </c>
    </row>
    <row r="5" spans="1:19" x14ac:dyDescent="0.35">
      <c r="A5" s="3" t="s">
        <v>16</v>
      </c>
      <c r="B5" s="16">
        <v>3.3962665995944998E-4</v>
      </c>
      <c r="C5" s="8" t="s">
        <v>17</v>
      </c>
      <c r="D5" s="33" t="str">
        <f>IF(B5&lt;0.000083,"Yes","No")</f>
        <v>No</v>
      </c>
      <c r="E5" s="19">
        <f>$B5*'Teva Payments'!C$26</f>
        <v>1135.9024649409425</v>
      </c>
      <c r="F5" s="19">
        <v>1162.74</v>
      </c>
      <c r="G5" s="19">
        <f>$B5*'Teva Payments'!E$26</f>
        <v>1268.1188008453184</v>
      </c>
      <c r="H5" s="19">
        <f>$B5*'Teva Payments'!F$26</f>
        <v>1268.1188008453187</v>
      </c>
      <c r="I5" s="19">
        <f>$B5*'Teva Payments'!G$26</f>
        <v>1268.1188008453187</v>
      </c>
      <c r="J5" s="19">
        <f>$B5*'Teva Payments'!H$26</f>
        <v>1268.1188008453187</v>
      </c>
      <c r="K5" s="19">
        <f>$B5*'Teva Payments'!I$26</f>
        <v>1268.1188007893506</v>
      </c>
      <c r="L5" s="19">
        <f>$B5*'Teva Payments'!J$26</f>
        <v>1268.1188007893506</v>
      </c>
      <c r="M5" s="19">
        <f>$B5*'Teva Payments'!K$26</f>
        <v>1268.1188007893506</v>
      </c>
      <c r="N5" s="19">
        <f>$B5*'Teva Payments'!L$26</f>
        <v>1268.1188007893506</v>
      </c>
      <c r="O5" s="19">
        <f>$B5*'Teva Payments'!M$26</f>
        <v>1268.1188007893506</v>
      </c>
      <c r="P5" s="19">
        <f>$B5*'Teva Payments'!N$26</f>
        <v>1268.1188007893506</v>
      </c>
      <c r="Q5" s="19">
        <f>$B5*'Teva Payments'!O$26</f>
        <v>1268.1301902822436</v>
      </c>
      <c r="R5" s="39" t="s">
        <v>346</v>
      </c>
      <c r="S5" s="7">
        <f t="shared" si="0"/>
        <v>16247.960663340566</v>
      </c>
    </row>
    <row r="6" spans="1:19" x14ac:dyDescent="0.35">
      <c r="A6" s="3" t="s">
        <v>18</v>
      </c>
      <c r="B6" s="16">
        <v>9.346301204800001E-4</v>
      </c>
      <c r="C6" s="8" t="s">
        <v>18</v>
      </c>
      <c r="D6" s="33" t="str">
        <f t="shared" ref="D6:D7" si="1">IF(B6&lt;0.000083,"Yes","No")</f>
        <v>No</v>
      </c>
      <c r="E6" s="19">
        <f>$B6*'Teva Payments'!C$26</f>
        <v>3125.9285056951617</v>
      </c>
      <c r="F6" s="19">
        <v>3199.78</v>
      </c>
      <c r="G6" s="19">
        <f>$B6*'Teva Payments'!E$26</f>
        <v>3489.7791232246723</v>
      </c>
      <c r="H6" s="19">
        <f>$B6*'Teva Payments'!F$26</f>
        <v>3489.7791232246727</v>
      </c>
      <c r="I6" s="19">
        <f>$B6*'Teva Payments'!G$26</f>
        <v>3489.7791232246727</v>
      </c>
      <c r="J6" s="19">
        <f>$B6*'Teva Payments'!H$26</f>
        <v>3489.7791232246727</v>
      </c>
      <c r="K6" s="19">
        <f>$B6*'Teva Payments'!I$26</f>
        <v>3489.7791230706525</v>
      </c>
      <c r="L6" s="19">
        <f>$B6*'Teva Payments'!J$26</f>
        <v>3489.7791230706525</v>
      </c>
      <c r="M6" s="19">
        <f>$B6*'Teva Payments'!K$26</f>
        <v>3489.7791230706525</v>
      </c>
      <c r="N6" s="19">
        <f>$B6*'Teva Payments'!L$26</f>
        <v>3489.7791230706525</v>
      </c>
      <c r="O6" s="19">
        <f>$B6*'Teva Payments'!M$26</f>
        <v>3489.7791230706525</v>
      </c>
      <c r="P6" s="19">
        <f>$B6*'Teva Payments'!N$26</f>
        <v>3489.7791230706525</v>
      </c>
      <c r="Q6" s="19">
        <f>$B6*'Teva Payments'!O$26</f>
        <v>3489.810466202302</v>
      </c>
      <c r="R6" s="39" t="s">
        <v>346</v>
      </c>
      <c r="S6" s="7">
        <f t="shared" si="0"/>
        <v>44713.31020322007</v>
      </c>
    </row>
    <row r="7" spans="1:19" x14ac:dyDescent="0.35">
      <c r="A7" s="3" t="s">
        <v>19</v>
      </c>
      <c r="B7" s="16">
        <v>8.795261608000001E-4</v>
      </c>
      <c r="C7" s="8" t="s">
        <v>19</v>
      </c>
      <c r="D7" s="33" t="str">
        <f t="shared" si="1"/>
        <v>No</v>
      </c>
      <c r="E7" s="19">
        <f>$B7*'Teva Payments'!C$26</f>
        <v>2941.629888984708</v>
      </c>
      <c r="F7" s="19">
        <v>3011.12</v>
      </c>
      <c r="G7" s="19">
        <f>$B7*'Teva Payments'!E$26</f>
        <v>3284.0285873875459</v>
      </c>
      <c r="H7" s="19">
        <f>$B7*'Teva Payments'!F$26</f>
        <v>3284.0285873875464</v>
      </c>
      <c r="I7" s="19">
        <f>$B7*'Teva Payments'!G$26</f>
        <v>3284.0285873875464</v>
      </c>
      <c r="J7" s="19">
        <f>$B7*'Teva Payments'!H$26</f>
        <v>3284.0285873875464</v>
      </c>
      <c r="K7" s="19">
        <f>$B7*'Teva Payments'!I$26</f>
        <v>3284.0285872426066</v>
      </c>
      <c r="L7" s="19">
        <f>$B7*'Teva Payments'!J$26</f>
        <v>3284.0285872426066</v>
      </c>
      <c r="M7" s="19">
        <f>$B7*'Teva Payments'!K$26</f>
        <v>3284.0285872426066</v>
      </c>
      <c r="N7" s="19">
        <f>$B7*'Teva Payments'!L$26</f>
        <v>3284.0285872426066</v>
      </c>
      <c r="O7" s="19">
        <f>$B7*'Teva Payments'!M$26</f>
        <v>3284.0285872426066</v>
      </c>
      <c r="P7" s="19">
        <f>$B7*'Teva Payments'!N$26</f>
        <v>3284.0285872426066</v>
      </c>
      <c r="Q7" s="19">
        <f>$B7*'Teva Payments'!O$26</f>
        <v>3284.0580824446583</v>
      </c>
      <c r="R7" s="39" t="s">
        <v>346</v>
      </c>
      <c r="S7" s="7">
        <f t="shared" si="0"/>
        <v>42077.093844435185</v>
      </c>
    </row>
    <row r="8" spans="1:19" x14ac:dyDescent="0.35">
      <c r="A8" s="3" t="s">
        <v>14</v>
      </c>
      <c r="B8" s="16">
        <v>1.7535336933774335E-5</v>
      </c>
      <c r="C8" s="8" t="s">
        <v>20</v>
      </c>
      <c r="D8" s="8" t="s">
        <v>337</v>
      </c>
      <c r="E8" s="19">
        <v>0</v>
      </c>
      <c r="F8" s="19">
        <v>0</v>
      </c>
      <c r="G8" s="19">
        <v>0</v>
      </c>
      <c r="H8" s="19">
        <v>0</v>
      </c>
      <c r="I8" s="19">
        <v>0</v>
      </c>
      <c r="J8" s="19">
        <v>0</v>
      </c>
      <c r="K8" s="19">
        <v>0</v>
      </c>
      <c r="L8" s="19">
        <v>0</v>
      </c>
      <c r="M8" s="19">
        <v>0</v>
      </c>
      <c r="N8" s="19">
        <v>0</v>
      </c>
      <c r="O8" s="19">
        <v>0</v>
      </c>
      <c r="P8" s="19">
        <v>0</v>
      </c>
      <c r="Q8" s="19">
        <v>0</v>
      </c>
      <c r="R8" s="39" t="s">
        <v>346</v>
      </c>
      <c r="S8" s="7">
        <f t="shared" si="0"/>
        <v>0</v>
      </c>
    </row>
    <row r="9" spans="1:19" x14ac:dyDescent="0.35">
      <c r="A9" s="3" t="s">
        <v>21</v>
      </c>
      <c r="B9" s="16">
        <v>4.6165611941257866E-3</v>
      </c>
      <c r="C9" s="8" t="s">
        <v>21</v>
      </c>
      <c r="D9" s="33" t="str">
        <f t="shared" ref="D9:D10" si="2">IF(B9&lt;0.000083,"Yes","No")</f>
        <v>No</v>
      </c>
      <c r="E9" s="19">
        <f>$B9*'Teva Payments'!C$26</f>
        <v>15440.375736652388</v>
      </c>
      <c r="F9" s="19">
        <v>15805.15</v>
      </c>
      <c r="G9" s="19">
        <f>$B9*'Teva Payments'!E$26</f>
        <v>17237.598621447472</v>
      </c>
      <c r="H9" s="19">
        <f>$B9*'Teva Payments'!F$26</f>
        <v>17237.598621447472</v>
      </c>
      <c r="I9" s="19">
        <f>$B9*'Teva Payments'!G$26</f>
        <v>17237.598621447472</v>
      </c>
      <c r="J9" s="19">
        <f>$B9*'Teva Payments'!H$26</f>
        <v>17237.598621447472</v>
      </c>
      <c r="K9" s="19">
        <f>$B9*'Teva Payments'!I$26</f>
        <v>17237.598620686698</v>
      </c>
      <c r="L9" s="19">
        <f>$B9*'Teva Payments'!J$26</f>
        <v>17237.598620686698</v>
      </c>
      <c r="M9" s="19">
        <f>$B9*'Teva Payments'!K$26</f>
        <v>17237.598620686698</v>
      </c>
      <c r="N9" s="19">
        <f>$B9*'Teva Payments'!L$26</f>
        <v>17237.598620686698</v>
      </c>
      <c r="O9" s="19">
        <f>$B9*'Teva Payments'!M$26</f>
        <v>17237.598620686698</v>
      </c>
      <c r="P9" s="19">
        <f>$B9*'Teva Payments'!N$26</f>
        <v>17237.598620686698</v>
      </c>
      <c r="Q9" s="19">
        <f>$B9*'Teva Payments'!O$26</f>
        <v>17237.753438600335</v>
      </c>
      <c r="R9" s="39" t="s">
        <v>346</v>
      </c>
      <c r="S9" s="7">
        <f t="shared" si="0"/>
        <v>220859.26538516284</v>
      </c>
    </row>
    <row r="10" spans="1:19" x14ac:dyDescent="0.35">
      <c r="A10" s="3" t="s">
        <v>22</v>
      </c>
      <c r="B10" s="16">
        <v>6.4220260878837781E-4</v>
      </c>
      <c r="C10" s="8" t="s">
        <v>23</v>
      </c>
      <c r="D10" s="33" t="str">
        <f t="shared" si="2"/>
        <v>No</v>
      </c>
      <c r="E10" s="19">
        <f>$B10*'Teva Payments'!C$26</f>
        <v>2147.8865245776615</v>
      </c>
      <c r="F10" s="19">
        <v>2198.63</v>
      </c>
      <c r="G10" s="19">
        <f>$B10*'Teva Payments'!E$26</f>
        <v>2397.895389760296</v>
      </c>
      <c r="H10" s="19">
        <f>$B10*'Teva Payments'!F$26</f>
        <v>2397.8953897602964</v>
      </c>
      <c r="I10" s="19">
        <f>$B10*'Teva Payments'!G$26</f>
        <v>2397.8953897602964</v>
      </c>
      <c r="J10" s="19">
        <f>$B10*'Teva Payments'!H$26</f>
        <v>2397.8953897602964</v>
      </c>
      <c r="K10" s="19">
        <f>$B10*'Teva Payments'!I$26</f>
        <v>2397.8953896544663</v>
      </c>
      <c r="L10" s="19">
        <f>$B10*'Teva Payments'!J$26</f>
        <v>2397.8953896544663</v>
      </c>
      <c r="M10" s="19">
        <f>$B10*'Teva Payments'!K$26</f>
        <v>2397.8953896544663</v>
      </c>
      <c r="N10" s="19">
        <f>$B10*'Teva Payments'!L$26</f>
        <v>2397.8953896544663</v>
      </c>
      <c r="O10" s="19">
        <f>$B10*'Teva Payments'!M$26</f>
        <v>2397.8953896544663</v>
      </c>
      <c r="P10" s="19">
        <f>$B10*'Teva Payments'!N$26</f>
        <v>2397.8953896544663</v>
      </c>
      <c r="Q10" s="19">
        <f>$B10*'Teva Payments'!O$26</f>
        <v>2397.9169261323432</v>
      </c>
      <c r="R10" s="39" t="s">
        <v>346</v>
      </c>
      <c r="S10" s="7">
        <f t="shared" si="0"/>
        <v>30723.387347677988</v>
      </c>
    </row>
    <row r="11" spans="1:19" x14ac:dyDescent="0.35">
      <c r="A11" s="3" t="s">
        <v>24</v>
      </c>
      <c r="B11" s="16">
        <v>4.6474904547300034E-5</v>
      </c>
      <c r="C11" s="8" t="s">
        <v>25</v>
      </c>
      <c r="D11" s="8" t="s">
        <v>337</v>
      </c>
      <c r="E11" s="19">
        <v>0</v>
      </c>
      <c r="F11" s="19">
        <v>0</v>
      </c>
      <c r="G11" s="19">
        <v>0</v>
      </c>
      <c r="H11" s="19">
        <v>0</v>
      </c>
      <c r="I11" s="19">
        <v>0</v>
      </c>
      <c r="J11" s="19">
        <v>0</v>
      </c>
      <c r="K11" s="19">
        <v>0</v>
      </c>
      <c r="L11" s="19">
        <v>0</v>
      </c>
      <c r="M11" s="19">
        <v>0</v>
      </c>
      <c r="N11" s="19">
        <v>0</v>
      </c>
      <c r="O11" s="19">
        <v>0</v>
      </c>
      <c r="P11" s="19">
        <v>0</v>
      </c>
      <c r="Q11" s="19">
        <v>0</v>
      </c>
      <c r="R11" s="39" t="s">
        <v>346</v>
      </c>
      <c r="S11" s="7">
        <f t="shared" si="0"/>
        <v>0</v>
      </c>
    </row>
    <row r="12" spans="1:19" x14ac:dyDescent="0.35">
      <c r="A12" s="3" t="s">
        <v>26</v>
      </c>
      <c r="B12" s="16">
        <v>3.5525680747200005E-3</v>
      </c>
      <c r="C12" s="8" t="s">
        <v>26</v>
      </c>
      <c r="D12" s="33" t="str">
        <f t="shared" ref="D12:D15" si="3">IF(B12&lt;0.000083,"Yes","No")</f>
        <v>No</v>
      </c>
      <c r="E12" s="19">
        <f>$B12*'Teva Payments'!C$26</f>
        <v>11881.78464384025</v>
      </c>
      <c r="F12" s="19">
        <v>12162.49</v>
      </c>
      <c r="G12" s="19">
        <f>$B12*'Teva Payments'!E$26</f>
        <v>13264.796018584573</v>
      </c>
      <c r="H12" s="19">
        <f>$B12*'Teva Payments'!F$26</f>
        <v>13264.796018584575</v>
      </c>
      <c r="I12" s="19">
        <f>$B12*'Teva Payments'!G$26</f>
        <v>13264.796018584575</v>
      </c>
      <c r="J12" s="19">
        <f>$B12*'Teva Payments'!H$26</f>
        <v>13264.796018584575</v>
      </c>
      <c r="K12" s="19">
        <f>$B12*'Teva Payments'!I$26</f>
        <v>13264.796017999137</v>
      </c>
      <c r="L12" s="19">
        <f>$B12*'Teva Payments'!J$26</f>
        <v>13264.796017999137</v>
      </c>
      <c r="M12" s="19">
        <f>$B12*'Teva Payments'!K$26</f>
        <v>13264.796017999137</v>
      </c>
      <c r="N12" s="19">
        <f>$B12*'Teva Payments'!L$26</f>
        <v>13264.796017999137</v>
      </c>
      <c r="O12" s="19">
        <f>$B12*'Teva Payments'!M$26</f>
        <v>13264.796017999137</v>
      </c>
      <c r="P12" s="19">
        <f>$B12*'Teva Payments'!N$26</f>
        <v>13264.796017999137</v>
      </c>
      <c r="Q12" s="19">
        <f>$B12*'Teva Payments'!O$26</f>
        <v>13264.915154549972</v>
      </c>
      <c r="R12" s="39" t="s">
        <v>346</v>
      </c>
      <c r="S12" s="7">
        <f t="shared" si="0"/>
        <v>169957.14998072333</v>
      </c>
    </row>
    <row r="13" spans="1:19" x14ac:dyDescent="0.35">
      <c r="A13" s="3" t="s">
        <v>14</v>
      </c>
      <c r="B13" s="16">
        <v>1.5193823261242404E-5</v>
      </c>
      <c r="C13" s="8" t="s">
        <v>27</v>
      </c>
      <c r="D13" s="33" t="str">
        <f t="shared" si="3"/>
        <v>Yes</v>
      </c>
      <c r="E13" s="19">
        <f>B13*'Teva Payments'!$Q$26</f>
        <v>731.59671734723997</v>
      </c>
      <c r="F13" s="19">
        <v>0</v>
      </c>
      <c r="G13" s="52">
        <f>$B13*'Teva Payments'!E$26</f>
        <v>56.731626829892839</v>
      </c>
      <c r="H13" s="52">
        <f>$B13*'Teva Payments'!F$26</f>
        <v>56.731626829892846</v>
      </c>
      <c r="I13" s="52">
        <f>$B13*'Teva Payments'!G$26</f>
        <v>56.731626829892846</v>
      </c>
      <c r="J13" s="52">
        <f>$B13*'Teva Payments'!H$26</f>
        <v>56.731626829892846</v>
      </c>
      <c r="K13" s="52">
        <f>$B13*'Teva Payments'!I$26</f>
        <v>56.731626827389015</v>
      </c>
      <c r="L13" s="52">
        <f>$B13*'Teva Payments'!J$26</f>
        <v>56.731626827389015</v>
      </c>
      <c r="M13" s="52">
        <f>$B13*'Teva Payments'!K$26</f>
        <v>56.731626827389015</v>
      </c>
      <c r="N13" s="52">
        <f>$B13*'Teva Payments'!L$26</f>
        <v>56.731626827389015</v>
      </c>
      <c r="O13" s="52">
        <f>$B13*'Teva Payments'!M$26</f>
        <v>56.731626827389015</v>
      </c>
      <c r="P13" s="52">
        <f>$B13*'Teva Payments'!N$26</f>
        <v>56.731626827389015</v>
      </c>
      <c r="Q13" s="52">
        <f>$B13*'Teva Payments'!O$26</f>
        <v>56.732136357300689</v>
      </c>
      <c r="R13" s="39" t="s">
        <v>346</v>
      </c>
      <c r="S13" s="7">
        <f>E13</f>
        <v>731.59671734723997</v>
      </c>
    </row>
    <row r="14" spans="1:19" x14ac:dyDescent="0.35">
      <c r="A14" s="3" t="s">
        <v>28</v>
      </c>
      <c r="B14" s="16">
        <v>2.7679777928632894E-3</v>
      </c>
      <c r="C14" s="8" t="s">
        <v>29</v>
      </c>
      <c r="D14" s="33" t="str">
        <f t="shared" si="3"/>
        <v>No</v>
      </c>
      <c r="E14" s="19">
        <f>$B14*'Teva Payments'!C$26</f>
        <v>9257.6737002642822</v>
      </c>
      <c r="F14" s="19">
        <v>9476.3799999999992</v>
      </c>
      <c r="G14" s="19">
        <f>$B14*'Teva Payments'!E$26</f>
        <v>10335.244824041081</v>
      </c>
      <c r="H14" s="19">
        <f>$B14*'Teva Payments'!F$26</f>
        <v>10335.244824041083</v>
      </c>
      <c r="I14" s="19">
        <f>$B14*'Teva Payments'!G$26</f>
        <v>10335.244824041083</v>
      </c>
      <c r="J14" s="19">
        <f>$B14*'Teva Payments'!H$26</f>
        <v>10335.244824041083</v>
      </c>
      <c r="K14" s="19">
        <f>$B14*'Teva Payments'!I$26</f>
        <v>10335.244823584941</v>
      </c>
      <c r="L14" s="19">
        <f>$B14*'Teva Payments'!J$26</f>
        <v>10335.244823584941</v>
      </c>
      <c r="M14" s="19">
        <f>$B14*'Teva Payments'!K$26</f>
        <v>10335.244823584941</v>
      </c>
      <c r="N14" s="19">
        <f>$B14*'Teva Payments'!L$26</f>
        <v>10335.244823584941</v>
      </c>
      <c r="O14" s="19">
        <f>$B14*'Teva Payments'!M$26</f>
        <v>10335.244823584941</v>
      </c>
      <c r="P14" s="19">
        <f>$B14*'Teva Payments'!N$26</f>
        <v>10335.244823584941</v>
      </c>
      <c r="Q14" s="19">
        <f>$B14*'Teva Payments'!O$26</f>
        <v>10335.337648639968</v>
      </c>
      <c r="R14" s="39" t="s">
        <v>346</v>
      </c>
      <c r="S14" s="7">
        <f t="shared" si="0"/>
        <v>132421.83958657825</v>
      </c>
    </row>
    <row r="15" spans="1:19" x14ac:dyDescent="0.35">
      <c r="A15" s="3" t="s">
        <v>30</v>
      </c>
      <c r="B15" s="16">
        <v>2.6667265464000002E-3</v>
      </c>
      <c r="C15" s="8" t="s">
        <v>30</v>
      </c>
      <c r="D15" s="33" t="str">
        <f t="shared" si="3"/>
        <v>No</v>
      </c>
      <c r="E15" s="19">
        <f>$B15*'Teva Payments'!C$26</f>
        <v>8919.0326158166572</v>
      </c>
      <c r="F15" s="19">
        <v>9129.74</v>
      </c>
      <c r="G15" s="19">
        <f>$B15*'Teva Payments'!E$26</f>
        <v>9957.1867255854122</v>
      </c>
      <c r="H15" s="19">
        <f>$B15*'Teva Payments'!F$26</f>
        <v>9957.186725585414</v>
      </c>
      <c r="I15" s="19">
        <f>$B15*'Teva Payments'!G$26</f>
        <v>9957.186725585414</v>
      </c>
      <c r="J15" s="19">
        <f>$B15*'Teva Payments'!H$26</f>
        <v>9957.186725585414</v>
      </c>
      <c r="K15" s="19">
        <f>$B15*'Teva Payments'!I$26</f>
        <v>9957.1867251459553</v>
      </c>
      <c r="L15" s="19">
        <f>$B15*'Teva Payments'!J$26</f>
        <v>9957.1867251459553</v>
      </c>
      <c r="M15" s="19">
        <f>$B15*'Teva Payments'!K$26</f>
        <v>9957.1867251459553</v>
      </c>
      <c r="N15" s="19">
        <f>$B15*'Teva Payments'!L$26</f>
        <v>9957.1867251459553</v>
      </c>
      <c r="O15" s="19">
        <f>$B15*'Teva Payments'!M$26</f>
        <v>9957.1867251459553</v>
      </c>
      <c r="P15" s="19">
        <f>$B15*'Teva Payments'!N$26</f>
        <v>9957.1867251459553</v>
      </c>
      <c r="Q15" s="19">
        <f>$B15*'Teva Payments'!O$26</f>
        <v>9957.2761547067894</v>
      </c>
      <c r="R15" s="39" t="s">
        <v>346</v>
      </c>
      <c r="S15" s="7">
        <f t="shared" si="0"/>
        <v>127577.91602374088</v>
      </c>
    </row>
    <row r="16" spans="1:19" x14ac:dyDescent="0.35">
      <c r="A16" s="3" t="s">
        <v>31</v>
      </c>
      <c r="B16" s="16">
        <v>7.8474941674770205E-6</v>
      </c>
      <c r="C16" s="8" t="s">
        <v>32</v>
      </c>
      <c r="D16" s="8" t="s">
        <v>337</v>
      </c>
      <c r="E16" s="19">
        <v>0</v>
      </c>
      <c r="F16" s="19">
        <v>0</v>
      </c>
      <c r="G16" s="19">
        <v>0</v>
      </c>
      <c r="H16" s="19">
        <v>0</v>
      </c>
      <c r="I16" s="19">
        <v>0</v>
      </c>
      <c r="J16" s="19">
        <v>0</v>
      </c>
      <c r="K16" s="19">
        <v>0</v>
      </c>
      <c r="L16" s="19">
        <v>0</v>
      </c>
      <c r="M16" s="19">
        <v>0</v>
      </c>
      <c r="N16" s="19">
        <v>0</v>
      </c>
      <c r="O16" s="19">
        <v>0</v>
      </c>
      <c r="P16" s="19">
        <v>0</v>
      </c>
      <c r="Q16" s="19">
        <v>0</v>
      </c>
      <c r="R16" s="39" t="s">
        <v>346</v>
      </c>
      <c r="S16" s="7">
        <f t="shared" si="0"/>
        <v>0</v>
      </c>
    </row>
    <row r="17" spans="1:19" x14ac:dyDescent="0.35">
      <c r="A17" s="3" t="s">
        <v>33</v>
      </c>
      <c r="B17" s="16">
        <v>1.8055048905600002E-3</v>
      </c>
      <c r="C17" s="8" t="s">
        <v>33</v>
      </c>
      <c r="D17" s="33" t="str">
        <f t="shared" ref="D17:D33" si="4">IF(B17&lt;0.000083,"Yes","No")</f>
        <v>No</v>
      </c>
      <c r="E17" s="19">
        <f>$B17*'Teva Payments'!C$26</f>
        <v>6038.6232809135108</v>
      </c>
      <c r="F17" s="19">
        <v>6181.28</v>
      </c>
      <c r="G17" s="19">
        <f>$B17*'Teva Payments'!E$26</f>
        <v>6741.5046186617792</v>
      </c>
      <c r="H17" s="19">
        <f>$B17*'Teva Payments'!F$26</f>
        <v>6741.5046186617801</v>
      </c>
      <c r="I17" s="19">
        <f>$B17*'Teva Payments'!G$26</f>
        <v>6741.5046186617801</v>
      </c>
      <c r="J17" s="19">
        <f>$B17*'Teva Payments'!H$26</f>
        <v>6741.5046186617801</v>
      </c>
      <c r="K17" s="19">
        <f>$B17*'Teva Payments'!I$26</f>
        <v>6741.5046183642453</v>
      </c>
      <c r="L17" s="19">
        <f>$B17*'Teva Payments'!J$26</f>
        <v>6741.5046183642453</v>
      </c>
      <c r="M17" s="19">
        <f>$B17*'Teva Payments'!K$26</f>
        <v>6741.5046183642453</v>
      </c>
      <c r="N17" s="19">
        <f>$B17*'Teva Payments'!L$26</f>
        <v>6741.5046183642453</v>
      </c>
      <c r="O17" s="19">
        <f>$B17*'Teva Payments'!M$26</f>
        <v>6741.5046183642453</v>
      </c>
      <c r="P17" s="19">
        <f>$B17*'Teva Payments'!N$26</f>
        <v>6741.5046183642453</v>
      </c>
      <c r="Q17" s="19">
        <f>$B17*'Teva Payments'!O$26</f>
        <v>6741.5651665706837</v>
      </c>
      <c r="R17" s="39" t="s">
        <v>346</v>
      </c>
      <c r="S17" s="7">
        <f t="shared" si="0"/>
        <v>86376.514632316786</v>
      </c>
    </row>
    <row r="18" spans="1:19" x14ac:dyDescent="0.35">
      <c r="A18" s="3" t="s">
        <v>34</v>
      </c>
      <c r="B18" s="16">
        <v>7.0325055618421011E-4</v>
      </c>
      <c r="C18" s="8" t="s">
        <v>35</v>
      </c>
      <c r="D18" s="33" t="str">
        <f t="shared" si="4"/>
        <v>No</v>
      </c>
      <c r="E18" s="19">
        <f>$B18*'Teva Payments'!C$26</f>
        <v>2352.0651774984608</v>
      </c>
      <c r="F18" s="19">
        <v>2407.63</v>
      </c>
      <c r="G18" s="19">
        <f>$B18*'Teva Payments'!E$26</f>
        <v>2625.8399505757343</v>
      </c>
      <c r="H18" s="19">
        <f>$B18*'Teva Payments'!F$26</f>
        <v>2625.8399505757347</v>
      </c>
      <c r="I18" s="19">
        <f>$B18*'Teva Payments'!G$26</f>
        <v>2625.8399505757347</v>
      </c>
      <c r="J18" s="19">
        <f>$B18*'Teva Payments'!H$26</f>
        <v>2625.8399505757347</v>
      </c>
      <c r="K18" s="19">
        <f>$B18*'Teva Payments'!I$26</f>
        <v>2625.8399504598437</v>
      </c>
      <c r="L18" s="19">
        <f>$B18*'Teva Payments'!J$26</f>
        <v>2625.8399504598437</v>
      </c>
      <c r="M18" s="19">
        <f>$B18*'Teva Payments'!K$26</f>
        <v>2625.8399504598437</v>
      </c>
      <c r="N18" s="19">
        <f>$B18*'Teva Payments'!L$26</f>
        <v>2625.8399504598437</v>
      </c>
      <c r="O18" s="19">
        <f>$B18*'Teva Payments'!M$26</f>
        <v>2625.8399504598437</v>
      </c>
      <c r="P18" s="19">
        <f>$B18*'Teva Payments'!N$26</f>
        <v>2625.8399504598437</v>
      </c>
      <c r="Q18" s="19">
        <f>$B18*'Teva Payments'!O$26</f>
        <v>2625.8635342009215</v>
      </c>
      <c r="R18" s="39" t="s">
        <v>346</v>
      </c>
      <c r="S18" s="7">
        <f t="shared" si="0"/>
        <v>33643.958216761377</v>
      </c>
    </row>
    <row r="19" spans="1:19" x14ac:dyDescent="0.35">
      <c r="A19" s="3" t="s">
        <v>36</v>
      </c>
      <c r="B19" s="16">
        <v>6.5282391823994206E-5</v>
      </c>
      <c r="C19" s="8" t="s">
        <v>37</v>
      </c>
      <c r="D19" s="33" t="str">
        <f t="shared" si="4"/>
        <v>Yes</v>
      </c>
      <c r="E19" s="19">
        <f>B19*'Teva Payments'!$Q$26</f>
        <v>3143.4078663295622</v>
      </c>
      <c r="F19" s="19">
        <v>0</v>
      </c>
      <c r="G19" s="52">
        <f>$B19*'Teva Payments'!E$26</f>
        <v>243.75538847875501</v>
      </c>
      <c r="H19" s="52">
        <f>$B19*'Teva Payments'!F$26</f>
        <v>243.75538847875504</v>
      </c>
      <c r="I19" s="52">
        <f>$B19*'Teva Payments'!G$26</f>
        <v>243.75538847875504</v>
      </c>
      <c r="J19" s="52">
        <f>$B19*'Teva Payments'!H$26</f>
        <v>243.75538847875504</v>
      </c>
      <c r="K19" s="52">
        <f>$B19*'Teva Payments'!I$26</f>
        <v>243.75538846799697</v>
      </c>
      <c r="L19" s="52">
        <f>$B19*'Teva Payments'!J$26</f>
        <v>243.75538846799697</v>
      </c>
      <c r="M19" s="52">
        <f>$B19*'Teva Payments'!K$26</f>
        <v>243.75538846799697</v>
      </c>
      <c r="N19" s="52">
        <f>$B19*'Teva Payments'!L$26</f>
        <v>243.75538846799697</v>
      </c>
      <c r="O19" s="52">
        <f>$B19*'Teva Payments'!M$26</f>
        <v>243.75538846799697</v>
      </c>
      <c r="P19" s="52">
        <f>$B19*'Teva Payments'!N$26</f>
        <v>243.75538846799697</v>
      </c>
      <c r="Q19" s="52">
        <f>$B19*'Teva Payments'!O$26</f>
        <v>243.75757773469883</v>
      </c>
      <c r="R19" s="39" t="s">
        <v>346</v>
      </c>
      <c r="S19" s="7">
        <f>E19</f>
        <v>3143.4078663295622</v>
      </c>
    </row>
    <row r="20" spans="1:19" x14ac:dyDescent="0.35">
      <c r="A20" s="3" t="s">
        <v>38</v>
      </c>
      <c r="B20" s="16">
        <v>8.3004606496000003E-4</v>
      </c>
      <c r="C20" s="8" t="s">
        <v>38</v>
      </c>
      <c r="D20" s="33" t="str">
        <f t="shared" si="4"/>
        <v>No</v>
      </c>
      <c r="E20" s="19">
        <f>$B20*'Teva Payments'!C$26</f>
        <v>2776.1406342928626</v>
      </c>
      <c r="F20" s="19">
        <v>2841.73</v>
      </c>
      <c r="G20" s="19">
        <f>$B20*'Teva Payments'!E$26</f>
        <v>3099.2767784164125</v>
      </c>
      <c r="H20" s="19">
        <f>$B20*'Teva Payments'!F$26</f>
        <v>3099.276778416413</v>
      </c>
      <c r="I20" s="19">
        <f>$B20*'Teva Payments'!G$26</f>
        <v>3099.276778416413</v>
      </c>
      <c r="J20" s="19">
        <f>$B20*'Teva Payments'!H$26</f>
        <v>3099.276778416413</v>
      </c>
      <c r="K20" s="19">
        <f>$B20*'Teva Payments'!I$26</f>
        <v>3099.2767782796273</v>
      </c>
      <c r="L20" s="19">
        <f>$B20*'Teva Payments'!J$26</f>
        <v>3099.2767782796273</v>
      </c>
      <c r="M20" s="19">
        <f>$B20*'Teva Payments'!K$26</f>
        <v>3099.2767782796273</v>
      </c>
      <c r="N20" s="19">
        <f>$B20*'Teva Payments'!L$26</f>
        <v>3099.2767782796273</v>
      </c>
      <c r="O20" s="19">
        <f>$B20*'Teva Payments'!M$26</f>
        <v>3099.2767782796273</v>
      </c>
      <c r="P20" s="19">
        <f>$B20*'Teva Payments'!N$26</f>
        <v>3099.2767782796273</v>
      </c>
      <c r="Q20" s="19">
        <f>$B20*'Teva Payments'!O$26</f>
        <v>3099.3046141502236</v>
      </c>
      <c r="R20" s="39" t="s">
        <v>346</v>
      </c>
      <c r="S20" s="7">
        <f t="shared" si="0"/>
        <v>39709.943031786504</v>
      </c>
    </row>
    <row r="21" spans="1:19" x14ac:dyDescent="0.35">
      <c r="A21" s="3" t="s">
        <v>39</v>
      </c>
      <c r="B21" s="16">
        <v>2.5871914761609301E-3</v>
      </c>
      <c r="C21" s="8" t="s">
        <v>39</v>
      </c>
      <c r="D21" s="33" t="str">
        <f t="shared" si="4"/>
        <v>No</v>
      </c>
      <c r="E21" s="19">
        <f>$B21*'Teva Payments'!C$26</f>
        <v>8653.0226319579178</v>
      </c>
      <c r="F21" s="19">
        <v>8857.4500000000007</v>
      </c>
      <c r="G21" s="19">
        <f>$B21*'Teva Payments'!E$26</f>
        <v>9660.2138144813198</v>
      </c>
      <c r="H21" s="19">
        <f>$B21*'Teva Payments'!F$26</f>
        <v>9660.2138144813198</v>
      </c>
      <c r="I21" s="19">
        <f>$B21*'Teva Payments'!G$26</f>
        <v>9660.2138144813198</v>
      </c>
      <c r="J21" s="19">
        <f>$B21*'Teva Payments'!H$26</f>
        <v>9660.2138144813198</v>
      </c>
      <c r="K21" s="19">
        <f>$B21*'Teva Payments'!I$26</f>
        <v>9660.2138140549705</v>
      </c>
      <c r="L21" s="19">
        <f>$B21*'Teva Payments'!J$26</f>
        <v>9660.2138140549705</v>
      </c>
      <c r="M21" s="19">
        <f>$B21*'Teva Payments'!K$26</f>
        <v>9660.2138140549705</v>
      </c>
      <c r="N21" s="19">
        <f>$B21*'Teva Payments'!L$26</f>
        <v>9660.2138140549705</v>
      </c>
      <c r="O21" s="19">
        <f>$B21*'Teva Payments'!M$26</f>
        <v>9660.2138140549705</v>
      </c>
      <c r="P21" s="19">
        <f>$B21*'Teva Payments'!N$26</f>
        <v>9660.2138140549705</v>
      </c>
      <c r="Q21" s="19">
        <f>$B21*'Teva Payments'!O$26</f>
        <v>9660.300576380796</v>
      </c>
      <c r="R21" s="39" t="s">
        <v>346</v>
      </c>
      <c r="S21" s="7">
        <f t="shared" si="0"/>
        <v>123772.91135059379</v>
      </c>
    </row>
    <row r="22" spans="1:19" x14ac:dyDescent="0.35">
      <c r="A22" s="3" t="s">
        <v>40</v>
      </c>
      <c r="B22" s="16">
        <v>3.2146033236360054E-4</v>
      </c>
      <c r="C22" s="8" t="s">
        <v>41</v>
      </c>
      <c r="D22" s="33" t="str">
        <f t="shared" si="4"/>
        <v>No</v>
      </c>
      <c r="E22" s="19">
        <f>$B22*'Teva Payments'!C$26</f>
        <v>1075.1440536386208</v>
      </c>
      <c r="F22" s="19">
        <v>1100.54</v>
      </c>
      <c r="G22" s="19">
        <f>$B22*'Teva Payments'!E$26</f>
        <v>1200.2882554771711</v>
      </c>
      <c r="H22" s="19">
        <f>$B22*'Teva Payments'!F$26</f>
        <v>1200.2882554771713</v>
      </c>
      <c r="I22" s="19">
        <f>$B22*'Teva Payments'!G$26</f>
        <v>1200.2882554771713</v>
      </c>
      <c r="J22" s="19">
        <f>$B22*'Teva Payments'!H$26</f>
        <v>1200.2882554771713</v>
      </c>
      <c r="K22" s="19">
        <f>$B22*'Teva Payments'!I$26</f>
        <v>1200.2882554241969</v>
      </c>
      <c r="L22" s="19">
        <f>$B22*'Teva Payments'!J$26</f>
        <v>1200.2882554241969</v>
      </c>
      <c r="M22" s="19">
        <f>$B22*'Teva Payments'!K$26</f>
        <v>1200.2882554241969</v>
      </c>
      <c r="N22" s="19">
        <f>$B22*'Teva Payments'!L$26</f>
        <v>1200.2882554241969</v>
      </c>
      <c r="O22" s="19">
        <f>$B22*'Teva Payments'!M$26</f>
        <v>1200.2882554241969</v>
      </c>
      <c r="P22" s="19">
        <f>$B22*'Teva Payments'!N$26</f>
        <v>1200.2882554241969</v>
      </c>
      <c r="Q22" s="19">
        <f>$B22*'Teva Payments'!O$26</f>
        <v>1200.2990357032577</v>
      </c>
      <c r="R22" s="39" t="s">
        <v>346</v>
      </c>
      <c r="S22" s="7">
        <f t="shared" si="0"/>
        <v>15378.865643795745</v>
      </c>
    </row>
    <row r="23" spans="1:19" x14ac:dyDescent="0.35">
      <c r="A23" s="3" t="s">
        <v>42</v>
      </c>
      <c r="B23" s="16">
        <v>2.0458170565343893E-3</v>
      </c>
      <c r="C23" s="8" t="s">
        <v>43</v>
      </c>
      <c r="D23" s="33" t="str">
        <f t="shared" si="4"/>
        <v>No</v>
      </c>
      <c r="E23" s="19">
        <f>$B23*'Teva Payments'!C$26</f>
        <v>6842.3622503989955</v>
      </c>
      <c r="F23" s="19">
        <v>7004.01</v>
      </c>
      <c r="G23" s="19">
        <f>$B23*'Teva Payments'!E$26</f>
        <v>7638.7968859424709</v>
      </c>
      <c r="H23" s="19">
        <f>$B23*'Teva Payments'!F$26</f>
        <v>7638.7968859424718</v>
      </c>
      <c r="I23" s="19">
        <f>$B23*'Teva Payments'!G$26</f>
        <v>7638.7968859424718</v>
      </c>
      <c r="J23" s="19">
        <f>$B23*'Teva Payments'!H$26</f>
        <v>7638.7968859424718</v>
      </c>
      <c r="K23" s="19">
        <f>$B23*'Teva Payments'!I$26</f>
        <v>7638.7968856053358</v>
      </c>
      <c r="L23" s="19">
        <f>$B23*'Teva Payments'!J$26</f>
        <v>7638.7968856053358</v>
      </c>
      <c r="M23" s="19">
        <f>$B23*'Teva Payments'!K$26</f>
        <v>7638.7968856053358</v>
      </c>
      <c r="N23" s="19">
        <f>$B23*'Teva Payments'!L$26</f>
        <v>7638.7968856053358</v>
      </c>
      <c r="O23" s="19">
        <f>$B23*'Teva Payments'!M$26</f>
        <v>7638.7968856053358</v>
      </c>
      <c r="P23" s="19">
        <f>$B23*'Teva Payments'!N$26</f>
        <v>7638.7968856053358</v>
      </c>
      <c r="Q23" s="19">
        <f>$B23*'Teva Payments'!O$26</f>
        <v>7638.865492760111</v>
      </c>
      <c r="R23" s="39" t="s">
        <v>346</v>
      </c>
      <c r="S23" s="7">
        <f t="shared" si="0"/>
        <v>97873.20660056101</v>
      </c>
    </row>
    <row r="24" spans="1:19" x14ac:dyDescent="0.35">
      <c r="A24" s="3" t="s">
        <v>36</v>
      </c>
      <c r="B24" s="16">
        <v>6.8586365358145425E-4</v>
      </c>
      <c r="C24" s="8" t="s">
        <v>44</v>
      </c>
      <c r="D24" s="33" t="str">
        <f t="shared" si="4"/>
        <v>No</v>
      </c>
      <c r="E24" s="19">
        <f>$B24*'Teva Payments'!C$26</f>
        <v>2293.9136015105319</v>
      </c>
      <c r="F24" s="19">
        <v>2348.11</v>
      </c>
      <c r="G24" s="19">
        <f>$B24*'Teva Payments'!E$26</f>
        <v>2560.9196699309414</v>
      </c>
      <c r="H24" s="19">
        <f>$B24*'Teva Payments'!F$26</f>
        <v>2560.9196699309418</v>
      </c>
      <c r="I24" s="19">
        <f>$B24*'Teva Payments'!G$26</f>
        <v>2560.9196699309418</v>
      </c>
      <c r="J24" s="19">
        <f>$B24*'Teva Payments'!H$26</f>
        <v>2560.9196699309418</v>
      </c>
      <c r="K24" s="19">
        <f>$B24*'Teva Payments'!I$26</f>
        <v>2560.9196698179162</v>
      </c>
      <c r="L24" s="19">
        <f>$B24*'Teva Payments'!J$26</f>
        <v>2560.9196698179162</v>
      </c>
      <c r="M24" s="19">
        <f>$B24*'Teva Payments'!K$26</f>
        <v>2560.9196698179162</v>
      </c>
      <c r="N24" s="19">
        <f>$B24*'Teva Payments'!L$26</f>
        <v>2560.9196698179162</v>
      </c>
      <c r="O24" s="19">
        <f>$B24*'Teva Payments'!M$26</f>
        <v>2560.9196698179162</v>
      </c>
      <c r="P24" s="19">
        <f>$B24*'Teva Payments'!N$26</f>
        <v>2560.9196698179162</v>
      </c>
      <c r="Q24" s="19">
        <f>$B24*'Teva Payments'!O$26</f>
        <v>2560.9426704834382</v>
      </c>
      <c r="R24" s="39" t="s">
        <v>346</v>
      </c>
      <c r="S24" s="7">
        <f t="shared" si="0"/>
        <v>32812.162970625228</v>
      </c>
    </row>
    <row r="25" spans="1:19" x14ac:dyDescent="0.35">
      <c r="A25" s="3" t="s">
        <v>36</v>
      </c>
      <c r="B25" s="16">
        <v>1.2330105690560002E-2</v>
      </c>
      <c r="C25" s="8" t="s">
        <v>36</v>
      </c>
      <c r="D25" s="33" t="str">
        <f t="shared" si="4"/>
        <v>No</v>
      </c>
      <c r="E25" s="19">
        <f>$B25*'Teva Payments'!C$26</f>
        <v>41238.804540732119</v>
      </c>
      <c r="F25" s="19">
        <v>42213.05</v>
      </c>
      <c r="G25" s="19">
        <f>$B25*'Teva Payments'!E$26</f>
        <v>46038.902966203736</v>
      </c>
      <c r="H25" s="19">
        <f>$B25*'Teva Payments'!F$26</f>
        <v>46038.902966203743</v>
      </c>
      <c r="I25" s="19">
        <f>$B25*'Teva Payments'!G$26</f>
        <v>46038.902966203743</v>
      </c>
      <c r="J25" s="19">
        <f>$B25*'Teva Payments'!H$26</f>
        <v>46038.902966203743</v>
      </c>
      <c r="K25" s="19">
        <f>$B25*'Teva Payments'!I$26</f>
        <v>46038.902964171823</v>
      </c>
      <c r="L25" s="19">
        <f>$B25*'Teva Payments'!J$26</f>
        <v>46038.902964171823</v>
      </c>
      <c r="M25" s="19">
        <f>$B25*'Teva Payments'!K$26</f>
        <v>46038.902964171823</v>
      </c>
      <c r="N25" s="19">
        <f>$B25*'Teva Payments'!L$26</f>
        <v>46038.902964171823</v>
      </c>
      <c r="O25" s="19">
        <f>$B25*'Teva Payments'!M$26</f>
        <v>46038.902964171823</v>
      </c>
      <c r="P25" s="19">
        <f>$B25*'Teva Payments'!N$26</f>
        <v>46038.902964171823</v>
      </c>
      <c r="Q25" s="19">
        <f>$B25*'Teva Payments'!O$26</f>
        <v>46039.31645836321</v>
      </c>
      <c r="R25" s="39" t="s">
        <v>346</v>
      </c>
      <c r="S25" s="7">
        <f t="shared" si="0"/>
        <v>589880.20064894133</v>
      </c>
    </row>
    <row r="26" spans="1:19" x14ac:dyDescent="0.35">
      <c r="A26" s="3" t="s">
        <v>45</v>
      </c>
      <c r="B26" s="16">
        <v>2.465424421072565E-4</v>
      </c>
      <c r="C26" s="8" t="s">
        <v>46</v>
      </c>
      <c r="D26" s="33" t="str">
        <f t="shared" si="4"/>
        <v>No</v>
      </c>
      <c r="E26" s="19">
        <f>$B26*'Teva Payments'!C$26</f>
        <v>824.5765150934526</v>
      </c>
      <c r="F26" s="19">
        <v>844.06</v>
      </c>
      <c r="G26" s="19">
        <f>$B26*'Teva Payments'!E$26</f>
        <v>920.55525346525803</v>
      </c>
      <c r="H26" s="19">
        <f>$B26*'Teva Payments'!F$26</f>
        <v>920.55525346525815</v>
      </c>
      <c r="I26" s="19">
        <f>$B26*'Teva Payments'!G$26</f>
        <v>920.55525346525815</v>
      </c>
      <c r="J26" s="19">
        <f>$B26*'Teva Payments'!H$26</f>
        <v>920.55525346525815</v>
      </c>
      <c r="K26" s="19">
        <f>$B26*'Teva Payments'!I$26</f>
        <v>920.55525342462965</v>
      </c>
      <c r="L26" s="19">
        <f>$B26*'Teva Payments'!J$26</f>
        <v>920.55525342462965</v>
      </c>
      <c r="M26" s="19">
        <f>$B26*'Teva Payments'!K$26</f>
        <v>920.55525342462965</v>
      </c>
      <c r="N26" s="19">
        <f>$B26*'Teva Payments'!L$26</f>
        <v>920.55525342462965</v>
      </c>
      <c r="O26" s="19">
        <f>$B26*'Teva Payments'!M$26</f>
        <v>920.55525342462965</v>
      </c>
      <c r="P26" s="19">
        <f>$B26*'Teva Payments'!N$26</f>
        <v>920.55525342462965</v>
      </c>
      <c r="Q26" s="19">
        <f>$B26*'Teva Payments'!O$26</f>
        <v>920.56352130734695</v>
      </c>
      <c r="R26" s="39" t="s">
        <v>346</v>
      </c>
      <c r="S26" s="7">
        <f t="shared" si="0"/>
        <v>11794.752570809609</v>
      </c>
    </row>
    <row r="27" spans="1:19" x14ac:dyDescent="0.35">
      <c r="A27" s="3" t="s">
        <v>47</v>
      </c>
      <c r="B27" s="16">
        <v>5.4211718464369893E-4</v>
      </c>
      <c r="C27" s="8" t="s">
        <v>48</v>
      </c>
      <c r="D27" s="33" t="str">
        <f t="shared" si="4"/>
        <v>No</v>
      </c>
      <c r="E27" s="19">
        <f>$B27*'Teva Payments'!C$26</f>
        <v>1813.1446053061463</v>
      </c>
      <c r="F27" s="19">
        <v>1855.98</v>
      </c>
      <c r="G27" s="19">
        <f>$B27*'Teva Payments'!E$26</f>
        <v>2024.1903100012485</v>
      </c>
      <c r="H27" s="19">
        <f>$B27*'Teva Payments'!F$26</f>
        <v>2024.1903100012487</v>
      </c>
      <c r="I27" s="19">
        <f>$B27*'Teva Payments'!G$26</f>
        <v>2024.1903100012487</v>
      </c>
      <c r="J27" s="19">
        <f>$B27*'Teva Payments'!H$26</f>
        <v>2024.1903100012487</v>
      </c>
      <c r="K27" s="19">
        <f>$B27*'Teva Payments'!I$26</f>
        <v>2024.1903099119115</v>
      </c>
      <c r="L27" s="19">
        <f>$B27*'Teva Payments'!J$26</f>
        <v>2024.1903099119115</v>
      </c>
      <c r="M27" s="19">
        <f>$B27*'Teva Payments'!K$26</f>
        <v>2024.1903099119115</v>
      </c>
      <c r="N27" s="19">
        <f>$B27*'Teva Payments'!L$26</f>
        <v>2024.1903099119115</v>
      </c>
      <c r="O27" s="19">
        <f>$B27*'Teva Payments'!M$26</f>
        <v>2024.1903099119115</v>
      </c>
      <c r="P27" s="19">
        <f>$B27*'Teva Payments'!N$26</f>
        <v>2024.1903099119115</v>
      </c>
      <c r="Q27" s="19">
        <f>$B27*'Teva Payments'!O$26</f>
        <v>2024.2084899918334</v>
      </c>
      <c r="R27" s="39" t="s">
        <v>346</v>
      </c>
      <c r="S27" s="7">
        <f t="shared" si="0"/>
        <v>25935.236194774447</v>
      </c>
    </row>
    <row r="28" spans="1:19" x14ac:dyDescent="0.35">
      <c r="A28" s="3" t="s">
        <v>49</v>
      </c>
      <c r="B28" s="16">
        <v>1.5597090017600002E-3</v>
      </c>
      <c r="C28" s="8" t="s">
        <v>49</v>
      </c>
      <c r="D28" s="33" t="str">
        <f t="shared" si="4"/>
        <v>No</v>
      </c>
      <c r="E28" s="19">
        <f>$B28*'Teva Payments'!C$26</f>
        <v>5216.5436597388798</v>
      </c>
      <c r="F28" s="19">
        <v>5339.78</v>
      </c>
      <c r="G28" s="19">
        <f>$B28*'Teva Payments'!E$26</f>
        <v>5823.7368916082523</v>
      </c>
      <c r="H28" s="19">
        <f>$B28*'Teva Payments'!F$26</f>
        <v>5823.7368916082532</v>
      </c>
      <c r="I28" s="19">
        <f>$B28*'Teva Payments'!G$26</f>
        <v>5823.7368916082532</v>
      </c>
      <c r="J28" s="19">
        <f>$B28*'Teva Payments'!H$26</f>
        <v>5823.7368916082532</v>
      </c>
      <c r="K28" s="19">
        <f>$B28*'Teva Payments'!I$26</f>
        <v>5823.7368913512246</v>
      </c>
      <c r="L28" s="19">
        <f>$B28*'Teva Payments'!J$26</f>
        <v>5823.7368913512246</v>
      </c>
      <c r="M28" s="19">
        <f>$B28*'Teva Payments'!K$26</f>
        <v>5823.7368913512246</v>
      </c>
      <c r="N28" s="19">
        <f>$B28*'Teva Payments'!L$26</f>
        <v>5823.7368913512246</v>
      </c>
      <c r="O28" s="19">
        <f>$B28*'Teva Payments'!M$26</f>
        <v>5823.7368913512246</v>
      </c>
      <c r="P28" s="19">
        <f>$B28*'Teva Payments'!N$26</f>
        <v>5823.7368913512246</v>
      </c>
      <c r="Q28" s="19">
        <f>$B28*'Teva Payments'!O$26</f>
        <v>5823.789196710859</v>
      </c>
      <c r="R28" s="39" t="s">
        <v>346</v>
      </c>
      <c r="S28" s="7">
        <f t="shared" si="0"/>
        <v>74617.481770990096</v>
      </c>
    </row>
    <row r="29" spans="1:19" x14ac:dyDescent="0.35">
      <c r="A29" s="3" t="s">
        <v>34</v>
      </c>
      <c r="B29" s="16">
        <v>2.1448338308180427E-4</v>
      </c>
      <c r="C29" s="8" t="s">
        <v>50</v>
      </c>
      <c r="D29" s="33" t="str">
        <f t="shared" si="4"/>
        <v>No</v>
      </c>
      <c r="E29" s="19">
        <f>$B29*'Teva Payments'!C$26</f>
        <v>717.35300038160324</v>
      </c>
      <c r="F29" s="19">
        <v>734.3</v>
      </c>
      <c r="G29" s="19">
        <f>$B29*'Teva Payments'!E$26</f>
        <v>800.85117754719033</v>
      </c>
      <c r="H29" s="19">
        <f>$B29*'Teva Payments'!F$26</f>
        <v>800.85117754719045</v>
      </c>
      <c r="I29" s="19">
        <f>$B29*'Teva Payments'!G$26</f>
        <v>800.85117754719045</v>
      </c>
      <c r="J29" s="19">
        <f>$B29*'Teva Payments'!H$26</f>
        <v>800.85117754719045</v>
      </c>
      <c r="K29" s="19">
        <f>$B29*'Teva Payments'!I$26</f>
        <v>800.85117751184509</v>
      </c>
      <c r="L29" s="19">
        <f>$B29*'Teva Payments'!J$26</f>
        <v>800.85117751184509</v>
      </c>
      <c r="M29" s="19">
        <f>$B29*'Teva Payments'!K$26</f>
        <v>800.85117751184509</v>
      </c>
      <c r="N29" s="19">
        <f>$B29*'Teva Payments'!L$26</f>
        <v>800.85117751184509</v>
      </c>
      <c r="O29" s="19">
        <f>$B29*'Teva Payments'!M$26</f>
        <v>800.85117751184509</v>
      </c>
      <c r="P29" s="19">
        <f>$B29*'Teva Payments'!N$26</f>
        <v>800.85117751184509</v>
      </c>
      <c r="Q29" s="19">
        <f>$B29*'Teva Payments'!O$26</f>
        <v>800.85837028336539</v>
      </c>
      <c r="R29" s="39" t="s">
        <v>346</v>
      </c>
      <c r="S29" s="7">
        <f t="shared" si="0"/>
        <v>10261.023145924803</v>
      </c>
    </row>
    <row r="30" spans="1:19" x14ac:dyDescent="0.35">
      <c r="A30" s="3" t="s">
        <v>47</v>
      </c>
      <c r="B30" s="16">
        <v>1.4353012866080001E-2</v>
      </c>
      <c r="C30" s="8" t="s">
        <v>47</v>
      </c>
      <c r="D30" s="33" t="str">
        <f t="shared" si="4"/>
        <v>No</v>
      </c>
      <c r="E30" s="19">
        <f>$B30*'Teva Payments'!C$26</f>
        <v>48004.543270707669</v>
      </c>
      <c r="F30" s="19">
        <v>49579.18</v>
      </c>
      <c r="G30" s="19">
        <f>$B30*'Teva Payments'!E$26</f>
        <v>53592.157536819883</v>
      </c>
      <c r="H30" s="19">
        <f>$B30*'Teva Payments'!F$26</f>
        <v>53592.157536819883</v>
      </c>
      <c r="I30" s="19">
        <f>$B30*'Teva Payments'!G$26</f>
        <v>53592.157536819883</v>
      </c>
      <c r="J30" s="19">
        <f>$B30*'Teva Payments'!H$26</f>
        <v>53592.157536819883</v>
      </c>
      <c r="K30" s="19">
        <f>$B30*'Teva Payments'!I$26</f>
        <v>53592.157534454615</v>
      </c>
      <c r="L30" s="19">
        <f>$B30*'Teva Payments'!J$26</f>
        <v>53592.157534454615</v>
      </c>
      <c r="M30" s="19">
        <f>$B30*'Teva Payments'!K$26</f>
        <v>53592.157534454615</v>
      </c>
      <c r="N30" s="19">
        <f>$B30*'Teva Payments'!L$26</f>
        <v>53592.157534454615</v>
      </c>
      <c r="O30" s="19">
        <f>$B30*'Teva Payments'!M$26</f>
        <v>53592.157534454615</v>
      </c>
      <c r="P30" s="19">
        <f>$B30*'Teva Payments'!N$26</f>
        <v>53592.157534454615</v>
      </c>
      <c r="Q30" s="19">
        <f>$B30*'Teva Payments'!O$26</f>
        <v>53592.638867510301</v>
      </c>
      <c r="R30" s="39" t="s">
        <v>346</v>
      </c>
      <c r="S30" s="7">
        <f t="shared" si="0"/>
        <v>687097.93749222509</v>
      </c>
    </row>
    <row r="31" spans="1:19" x14ac:dyDescent="0.35">
      <c r="A31" s="3" t="s">
        <v>34</v>
      </c>
      <c r="B31" s="16">
        <v>2.7489343219674764E-4</v>
      </c>
      <c r="C31" s="8" t="s">
        <v>51</v>
      </c>
      <c r="D31" s="33" t="str">
        <f t="shared" si="4"/>
        <v>No</v>
      </c>
      <c r="E31" s="19">
        <f>$B31*'Teva Payments'!C$26</f>
        <v>919.39816286990879</v>
      </c>
      <c r="F31" s="19">
        <v>941.12</v>
      </c>
      <c r="G31" s="19">
        <f>$B31*'Teva Payments'!E$26</f>
        <v>1026.4139147357118</v>
      </c>
      <c r="H31" s="19">
        <f>$B31*'Teva Payments'!F$26</f>
        <v>1026.4139147357121</v>
      </c>
      <c r="I31" s="19">
        <f>$B31*'Teva Payments'!G$26</f>
        <v>1026.4139147357121</v>
      </c>
      <c r="J31" s="19">
        <f>$B31*'Teva Payments'!H$26</f>
        <v>1026.4139147357121</v>
      </c>
      <c r="K31" s="19">
        <f>$B31*'Teva Payments'!I$26</f>
        <v>1026.4139146904115</v>
      </c>
      <c r="L31" s="19">
        <f>$B31*'Teva Payments'!J$26</f>
        <v>1026.4139146904115</v>
      </c>
      <c r="M31" s="19">
        <f>$B31*'Teva Payments'!K$26</f>
        <v>1026.4139146904115</v>
      </c>
      <c r="N31" s="19">
        <f>$B31*'Teva Payments'!L$26</f>
        <v>1026.4139146904115</v>
      </c>
      <c r="O31" s="19">
        <f>$B31*'Teva Payments'!M$26</f>
        <v>1026.4139146904115</v>
      </c>
      <c r="P31" s="19">
        <f>$B31*'Teva Payments'!N$26</f>
        <v>1026.4139146904115</v>
      </c>
      <c r="Q31" s="19">
        <f>$B31*'Teva Payments'!O$26</f>
        <v>1026.4231333330019</v>
      </c>
      <c r="R31" s="39" t="s">
        <v>346</v>
      </c>
      <c r="S31" s="7">
        <f t="shared" si="0"/>
        <v>13151.080443288227</v>
      </c>
    </row>
    <row r="32" spans="1:19" x14ac:dyDescent="0.35">
      <c r="A32" s="3" t="s">
        <v>52</v>
      </c>
      <c r="B32" s="16">
        <v>1.4644445099620517E-4</v>
      </c>
      <c r="C32" s="8" t="s">
        <v>53</v>
      </c>
      <c r="D32" s="33" t="str">
        <f t="shared" si="4"/>
        <v>No</v>
      </c>
      <c r="E32" s="19">
        <f>$B32*'Teva Payments'!C$26</f>
        <v>489.79256482213037</v>
      </c>
      <c r="F32" s="19">
        <v>501.36</v>
      </c>
      <c r="G32" s="19">
        <f>$B32*'Teva Payments'!E$26</f>
        <v>546.80325039833917</v>
      </c>
      <c r="H32" s="19">
        <f>$B32*'Teva Payments'!F$26</f>
        <v>546.80325039833917</v>
      </c>
      <c r="I32" s="19">
        <f>$B32*'Teva Payments'!G$26</f>
        <v>546.80325039833917</v>
      </c>
      <c r="J32" s="19">
        <f>$B32*'Teva Payments'!H$26</f>
        <v>546.80325039833917</v>
      </c>
      <c r="K32" s="19">
        <f>$B32*'Teva Payments'!I$26</f>
        <v>546.80325037420619</v>
      </c>
      <c r="L32" s="19">
        <f>$B32*'Teva Payments'!J$26</f>
        <v>546.80325037420619</v>
      </c>
      <c r="M32" s="19">
        <f>$B32*'Teva Payments'!K$26</f>
        <v>546.80325037420619</v>
      </c>
      <c r="N32" s="19">
        <f>$B32*'Teva Payments'!L$26</f>
        <v>546.80325037420619</v>
      </c>
      <c r="O32" s="19">
        <f>$B32*'Teva Payments'!M$26</f>
        <v>546.80325037420619</v>
      </c>
      <c r="P32" s="19">
        <f>$B32*'Teva Payments'!N$26</f>
        <v>546.80325037420619</v>
      </c>
      <c r="Q32" s="19">
        <f>$B32*'Teva Payments'!O$26</f>
        <v>546.808161437531</v>
      </c>
      <c r="R32" s="39" t="s">
        <v>346</v>
      </c>
      <c r="S32" s="7">
        <f t="shared" si="0"/>
        <v>7005.9932300982546</v>
      </c>
    </row>
    <row r="33" spans="1:19" x14ac:dyDescent="0.35">
      <c r="A33" s="3" t="s">
        <v>34</v>
      </c>
      <c r="B33" s="16">
        <v>6.1607165089975981E-4</v>
      </c>
      <c r="C33" s="8" t="s">
        <v>54</v>
      </c>
      <c r="D33" s="33" t="str">
        <f t="shared" si="4"/>
        <v>No</v>
      </c>
      <c r="E33" s="19">
        <f>$B33*'Teva Payments'!C$26</f>
        <v>2060.4899124256794</v>
      </c>
      <c r="F33" s="19">
        <v>2109.17</v>
      </c>
      <c r="G33" s="19">
        <f>$B33*'Teva Payments'!E$26</f>
        <v>2300.3260205399583</v>
      </c>
      <c r="H33" s="19">
        <f>$B33*'Teva Payments'!F$26</f>
        <v>2300.3260205399583</v>
      </c>
      <c r="I33" s="19">
        <f>$B33*'Teva Payments'!G$26</f>
        <v>2300.3260205399583</v>
      </c>
      <c r="J33" s="19">
        <f>$B33*'Teva Payments'!H$26</f>
        <v>2300.3260205399583</v>
      </c>
      <c r="K33" s="19">
        <f>$B33*'Teva Payments'!I$26</f>
        <v>2300.3260204384342</v>
      </c>
      <c r="L33" s="19">
        <f>$B33*'Teva Payments'!J$26</f>
        <v>2300.3260204384342</v>
      </c>
      <c r="M33" s="19">
        <f>$B33*'Teva Payments'!K$26</f>
        <v>2300.3260204384342</v>
      </c>
      <c r="N33" s="19">
        <f>$B33*'Teva Payments'!L$26</f>
        <v>2300.3260204384342</v>
      </c>
      <c r="O33" s="19">
        <f>$B33*'Teva Payments'!M$26</f>
        <v>2300.3260204384342</v>
      </c>
      <c r="P33" s="19">
        <f>$B33*'Teva Payments'!N$26</f>
        <v>2300.3260204384342</v>
      </c>
      <c r="Q33" s="19">
        <f>$B33*'Teva Payments'!O$26</f>
        <v>2300.3466806059555</v>
      </c>
      <c r="R33" s="39" t="s">
        <v>346</v>
      </c>
      <c r="S33" s="7">
        <f t="shared" si="0"/>
        <v>29473.266797822078</v>
      </c>
    </row>
    <row r="34" spans="1:19" x14ac:dyDescent="0.35">
      <c r="A34" s="3" t="s">
        <v>55</v>
      </c>
      <c r="B34" s="16">
        <v>0</v>
      </c>
      <c r="C34" s="8" t="s">
        <v>56</v>
      </c>
      <c r="D34" s="8" t="s">
        <v>338</v>
      </c>
      <c r="E34" s="19">
        <v>0</v>
      </c>
      <c r="F34" s="19">
        <v>0</v>
      </c>
      <c r="G34" s="19">
        <v>0</v>
      </c>
      <c r="H34" s="19">
        <v>0</v>
      </c>
      <c r="I34" s="19">
        <v>0</v>
      </c>
      <c r="J34" s="19">
        <v>0</v>
      </c>
      <c r="K34" s="19">
        <v>0</v>
      </c>
      <c r="L34" s="19">
        <v>0</v>
      </c>
      <c r="M34" s="19">
        <v>0</v>
      </c>
      <c r="N34" s="19">
        <v>0</v>
      </c>
      <c r="O34" s="19">
        <v>0</v>
      </c>
      <c r="P34" s="19">
        <v>0</v>
      </c>
      <c r="Q34" s="19">
        <v>0</v>
      </c>
      <c r="R34" s="39" t="s">
        <v>346</v>
      </c>
      <c r="S34" s="7">
        <f t="shared" si="0"/>
        <v>0</v>
      </c>
    </row>
    <row r="35" spans="1:19" x14ac:dyDescent="0.35">
      <c r="A35" s="3" t="s">
        <v>34</v>
      </c>
      <c r="B35" s="16">
        <v>1.4314410402168545E-3</v>
      </c>
      <c r="C35" s="8" t="s">
        <v>57</v>
      </c>
      <c r="D35" s="33" t="str">
        <f t="shared" ref="D35:D40" si="5">IF(B35&lt;0.000083,"Yes","No")</f>
        <v>No</v>
      </c>
      <c r="E35" s="19">
        <f>$B35*'Teva Payments'!C$26</f>
        <v>4787.5434931818572</v>
      </c>
      <c r="F35" s="19">
        <v>4900.6499999999996</v>
      </c>
      <c r="G35" s="19">
        <f>$B35*'Teva Payments'!E$26</f>
        <v>5344.8021295421995</v>
      </c>
      <c r="H35" s="19">
        <f>$B35*'Teva Payments'!F$26</f>
        <v>5344.8021295422004</v>
      </c>
      <c r="I35" s="19">
        <f>$B35*'Teva Payments'!G$26</f>
        <v>5344.8021295422004</v>
      </c>
      <c r="J35" s="19">
        <f>$B35*'Teva Payments'!H$26</f>
        <v>5344.8021295422004</v>
      </c>
      <c r="K35" s="19">
        <f>$B35*'Teva Payments'!I$26</f>
        <v>5344.8021293063093</v>
      </c>
      <c r="L35" s="19">
        <f>$B35*'Teva Payments'!J$26</f>
        <v>5344.8021293063093</v>
      </c>
      <c r="M35" s="19">
        <f>$B35*'Teva Payments'!K$26</f>
        <v>5344.8021293063093</v>
      </c>
      <c r="N35" s="19">
        <f>$B35*'Teva Payments'!L$26</f>
        <v>5344.8021293063093</v>
      </c>
      <c r="O35" s="19">
        <f>$B35*'Teva Payments'!M$26</f>
        <v>5344.8021293063093</v>
      </c>
      <c r="P35" s="19">
        <f>$B35*'Teva Payments'!N$26</f>
        <v>5344.8021293063093</v>
      </c>
      <c r="Q35" s="19">
        <f>$B35*'Teva Payments'!O$26</f>
        <v>5344.8501331572324</v>
      </c>
      <c r="R35" s="39" t="s">
        <v>346</v>
      </c>
      <c r="S35" s="7">
        <f t="shared" si="0"/>
        <v>68481.064920345729</v>
      </c>
    </row>
    <row r="36" spans="1:19" x14ac:dyDescent="0.35">
      <c r="A36" s="3" t="s">
        <v>58</v>
      </c>
      <c r="B36" s="16">
        <v>3.8230209662400007E-3</v>
      </c>
      <c r="C36" s="8" t="s">
        <v>58</v>
      </c>
      <c r="D36" s="33" t="str">
        <f t="shared" si="5"/>
        <v>No</v>
      </c>
      <c r="E36" s="19">
        <f>$B36*'Teva Payments'!C$26</f>
        <v>12786.33114252988</v>
      </c>
      <c r="F36" s="19">
        <v>13088.4</v>
      </c>
      <c r="G36" s="19">
        <f>$B36*'Teva Payments'!E$26</f>
        <v>14274.629570875317</v>
      </c>
      <c r="H36" s="19">
        <f>$B36*'Teva Payments'!F$26</f>
        <v>14274.629570875319</v>
      </c>
      <c r="I36" s="19">
        <f>$B36*'Teva Payments'!G$26</f>
        <v>14274.629570875319</v>
      </c>
      <c r="J36" s="19">
        <f>$B36*'Teva Payments'!H$26</f>
        <v>14274.629570875319</v>
      </c>
      <c r="K36" s="19">
        <f>$B36*'Teva Payments'!I$26</f>
        <v>14274.629570245312</v>
      </c>
      <c r="L36" s="19">
        <f>$B36*'Teva Payments'!J$26</f>
        <v>14274.629570245312</v>
      </c>
      <c r="M36" s="19">
        <f>$B36*'Teva Payments'!K$26</f>
        <v>14274.629570245312</v>
      </c>
      <c r="N36" s="19">
        <f>$B36*'Teva Payments'!L$26</f>
        <v>14274.629570245312</v>
      </c>
      <c r="O36" s="19">
        <f>$B36*'Teva Payments'!M$26</f>
        <v>14274.629570245312</v>
      </c>
      <c r="P36" s="19">
        <f>$B36*'Teva Payments'!N$26</f>
        <v>14274.629570245312</v>
      </c>
      <c r="Q36" s="19">
        <f>$B36*'Teva Payments'!O$26</f>
        <v>14274.757776523729</v>
      </c>
      <c r="R36" s="39" t="s">
        <v>346</v>
      </c>
      <c r="S36" s="7">
        <f t="shared" si="0"/>
        <v>182895.78462402674</v>
      </c>
    </row>
    <row r="37" spans="1:19" x14ac:dyDescent="0.35">
      <c r="A37" s="3" t="s">
        <v>34</v>
      </c>
      <c r="B37" s="16">
        <v>1.7834819854661442E-4</v>
      </c>
      <c r="C37" s="8" t="s">
        <v>59</v>
      </c>
      <c r="D37" s="33" t="str">
        <f t="shared" si="5"/>
        <v>No</v>
      </c>
      <c r="E37" s="19">
        <f>$B37*'Teva Payments'!C$26</f>
        <v>596.49663065633274</v>
      </c>
      <c r="F37" s="19">
        <v>610.59</v>
      </c>
      <c r="G37" s="19">
        <f>$B37*'Teva Payments'!E$26</f>
        <v>665.92741482915039</v>
      </c>
      <c r="H37" s="19">
        <f>$B37*'Teva Payments'!F$26</f>
        <v>665.92741482915051</v>
      </c>
      <c r="I37" s="19">
        <f>$B37*'Teva Payments'!G$26</f>
        <v>665.92741482915051</v>
      </c>
      <c r="J37" s="19">
        <f>$B37*'Teva Payments'!H$26</f>
        <v>665.92741482915051</v>
      </c>
      <c r="K37" s="19">
        <f>$B37*'Teva Payments'!I$26</f>
        <v>665.92741479975996</v>
      </c>
      <c r="L37" s="19">
        <f>$B37*'Teva Payments'!J$26</f>
        <v>665.92741479975996</v>
      </c>
      <c r="M37" s="19">
        <f>$B37*'Teva Payments'!K$26</f>
        <v>665.92741479975996</v>
      </c>
      <c r="N37" s="19">
        <f>$B37*'Teva Payments'!L$26</f>
        <v>665.92741479975996</v>
      </c>
      <c r="O37" s="19">
        <f>$B37*'Teva Payments'!M$26</f>
        <v>665.92741479975996</v>
      </c>
      <c r="P37" s="19">
        <f>$B37*'Teva Payments'!N$26</f>
        <v>665.92741479975996</v>
      </c>
      <c r="Q37" s="19">
        <f>$B37*'Teva Payments'!O$26</f>
        <v>665.93339576585981</v>
      </c>
      <c r="R37" s="39" t="s">
        <v>346</v>
      </c>
      <c r="S37" s="7">
        <f t="shared" si="0"/>
        <v>8532.2941745373555</v>
      </c>
    </row>
    <row r="38" spans="1:19" x14ac:dyDescent="0.35">
      <c r="A38" s="3" t="s">
        <v>60</v>
      </c>
      <c r="B38" s="16">
        <v>6.0493406028165334E-6</v>
      </c>
      <c r="C38" s="8" t="s">
        <v>61</v>
      </c>
      <c r="D38" s="33" t="str">
        <f t="shared" si="5"/>
        <v>Yes</v>
      </c>
      <c r="E38" s="19">
        <f>B38*'Teva Payments'!$Q$26</f>
        <v>291.28137474294016</v>
      </c>
      <c r="F38" s="19">
        <v>0</v>
      </c>
      <c r="G38" s="52">
        <f>$B38*'Teva Payments'!E$26</f>
        <v>22.587398033077022</v>
      </c>
      <c r="H38" s="52">
        <f>$B38*'Teva Payments'!F$26</f>
        <v>22.587398033077022</v>
      </c>
      <c r="I38" s="52">
        <f>$B38*'Teva Payments'!G$26</f>
        <v>22.587398033077022</v>
      </c>
      <c r="J38" s="52">
        <f>$B38*'Teva Payments'!H$26</f>
        <v>22.587398033077022</v>
      </c>
      <c r="K38" s="52">
        <f>$B38*'Teva Payments'!I$26</f>
        <v>22.587398032080134</v>
      </c>
      <c r="L38" s="52">
        <f>$B38*'Teva Payments'!J$26</f>
        <v>22.587398032080134</v>
      </c>
      <c r="M38" s="52">
        <f>$B38*'Teva Payments'!K$26</f>
        <v>22.587398032080134</v>
      </c>
      <c r="N38" s="52">
        <f>$B38*'Teva Payments'!L$26</f>
        <v>22.587398032080134</v>
      </c>
      <c r="O38" s="52">
        <f>$B38*'Teva Payments'!M$26</f>
        <v>22.587398032080134</v>
      </c>
      <c r="P38" s="52">
        <f>$B38*'Teva Payments'!N$26</f>
        <v>22.587398032080134</v>
      </c>
      <c r="Q38" s="52">
        <f>$B38*'Teva Payments'!O$26</f>
        <v>22.587600898727327</v>
      </c>
      <c r="R38" s="39" t="s">
        <v>346</v>
      </c>
      <c r="S38" s="7">
        <f>E38</f>
        <v>291.28137474294016</v>
      </c>
    </row>
    <row r="39" spans="1:19" x14ac:dyDescent="0.35">
      <c r="A39" s="3" t="s">
        <v>22</v>
      </c>
      <c r="B39" s="16">
        <v>6.1860133563783337E-4</v>
      </c>
      <c r="C39" s="8" t="s">
        <v>62</v>
      </c>
      <c r="D39" s="33" t="str">
        <f t="shared" si="5"/>
        <v>No</v>
      </c>
      <c r="E39" s="19">
        <f>$B39*'Teva Payments'!C$26</f>
        <v>2068.9506001992609</v>
      </c>
      <c r="F39" s="19">
        <v>2117.83</v>
      </c>
      <c r="G39" s="19">
        <f>$B39*'Teva Payments'!E$26</f>
        <v>2309.7715121775864</v>
      </c>
      <c r="H39" s="19">
        <f>$B39*'Teva Payments'!F$26</f>
        <v>2309.7715121775864</v>
      </c>
      <c r="I39" s="19">
        <f>$B39*'Teva Payments'!G$26</f>
        <v>2309.7715121775864</v>
      </c>
      <c r="J39" s="19">
        <f>$B39*'Teva Payments'!H$26</f>
        <v>2309.7715121775864</v>
      </c>
      <c r="K39" s="19">
        <f>$B39*'Teva Payments'!I$26</f>
        <v>2309.7715120756457</v>
      </c>
      <c r="L39" s="19">
        <f>$B39*'Teva Payments'!J$26</f>
        <v>2309.7715120756457</v>
      </c>
      <c r="M39" s="19">
        <f>$B39*'Teva Payments'!K$26</f>
        <v>2309.7715120756457</v>
      </c>
      <c r="N39" s="19">
        <f>$B39*'Teva Payments'!L$26</f>
        <v>2309.7715120756457</v>
      </c>
      <c r="O39" s="19">
        <f>$B39*'Teva Payments'!M$26</f>
        <v>2309.7715120756457</v>
      </c>
      <c r="P39" s="19">
        <f>$B39*'Teva Payments'!N$26</f>
        <v>2309.7715120756457</v>
      </c>
      <c r="Q39" s="19">
        <f>$B39*'Teva Payments'!O$26</f>
        <v>2309.7922570769852</v>
      </c>
      <c r="R39" s="39" t="s">
        <v>346</v>
      </c>
      <c r="S39" s="7">
        <f t="shared" si="0"/>
        <v>29594.287978440469</v>
      </c>
    </row>
    <row r="40" spans="1:19" x14ac:dyDescent="0.35">
      <c r="A40" s="3" t="s">
        <v>63</v>
      </c>
      <c r="B40" s="16">
        <v>1.9828741491205145E-4</v>
      </c>
      <c r="C40" s="8" t="s">
        <v>64</v>
      </c>
      <c r="D40" s="33" t="str">
        <f t="shared" si="5"/>
        <v>No</v>
      </c>
      <c r="E40" s="19">
        <f>$B40*'Teva Payments'!C$26</f>
        <v>663.18457859656485</v>
      </c>
      <c r="F40" s="19">
        <v>678.85</v>
      </c>
      <c r="G40" s="19">
        <f>$B40*'Teva Payments'!E$26</f>
        <v>740.37768074806365</v>
      </c>
      <c r="H40" s="19">
        <f>$B40*'Teva Payments'!F$26</f>
        <v>740.37768074806365</v>
      </c>
      <c r="I40" s="19">
        <f>$B40*'Teva Payments'!G$26</f>
        <v>740.37768074806365</v>
      </c>
      <c r="J40" s="19">
        <f>$B40*'Teva Payments'!H$26</f>
        <v>740.37768074806365</v>
      </c>
      <c r="K40" s="19">
        <f>$B40*'Teva Payments'!I$26</f>
        <v>740.37768071538733</v>
      </c>
      <c r="L40" s="19">
        <f>$B40*'Teva Payments'!J$26</f>
        <v>740.37768071538733</v>
      </c>
      <c r="M40" s="19">
        <f>$B40*'Teva Payments'!K$26</f>
        <v>740.37768071538733</v>
      </c>
      <c r="N40" s="19">
        <f>$B40*'Teva Payments'!L$26</f>
        <v>740.37768071538733</v>
      </c>
      <c r="O40" s="19">
        <f>$B40*'Teva Payments'!M$26</f>
        <v>740.37768071538733</v>
      </c>
      <c r="P40" s="19">
        <f>$B40*'Teva Payments'!N$26</f>
        <v>740.37768071538733</v>
      </c>
      <c r="Q40" s="19">
        <f>$B40*'Teva Payments'!O$26</f>
        <v>740.38433034973343</v>
      </c>
      <c r="R40" s="39" t="s">
        <v>346</v>
      </c>
      <c r="S40" s="7">
        <f t="shared" si="0"/>
        <v>9486.1957162308772</v>
      </c>
    </row>
    <row r="41" spans="1:19" x14ac:dyDescent="0.35">
      <c r="A41" s="3" t="s">
        <v>14</v>
      </c>
      <c r="B41" s="16">
        <v>8.5803473491828175E-5</v>
      </c>
      <c r="C41" s="8" t="s">
        <v>65</v>
      </c>
      <c r="D41" s="8" t="s">
        <v>337</v>
      </c>
      <c r="E41" s="19">
        <v>0</v>
      </c>
      <c r="F41" s="19">
        <v>0</v>
      </c>
      <c r="G41" s="19">
        <v>0</v>
      </c>
      <c r="H41" s="19">
        <v>0</v>
      </c>
      <c r="I41" s="19">
        <v>0</v>
      </c>
      <c r="J41" s="19">
        <v>0</v>
      </c>
      <c r="K41" s="19">
        <v>0</v>
      </c>
      <c r="L41" s="19">
        <v>0</v>
      </c>
      <c r="M41" s="19">
        <v>0</v>
      </c>
      <c r="N41" s="19">
        <v>0</v>
      </c>
      <c r="O41" s="19">
        <v>0</v>
      </c>
      <c r="P41" s="19">
        <v>0</v>
      </c>
      <c r="Q41" s="19">
        <v>0</v>
      </c>
      <c r="R41" s="39" t="s">
        <v>346</v>
      </c>
      <c r="S41" s="7">
        <f t="shared" si="0"/>
        <v>0</v>
      </c>
    </row>
    <row r="42" spans="1:19" x14ac:dyDescent="0.35">
      <c r="A42" s="3" t="s">
        <v>66</v>
      </c>
      <c r="B42" s="16">
        <v>5.9285718408623813E-4</v>
      </c>
      <c r="C42" s="8" t="s">
        <v>67</v>
      </c>
      <c r="D42" s="33" t="str">
        <f t="shared" ref="D42:D57" si="6">IF(B42&lt;0.000083,"Yes","No")</f>
        <v>No</v>
      </c>
      <c r="E42" s="19">
        <f>$B42*'Teva Payments'!C$26</f>
        <v>1982.84768587339</v>
      </c>
      <c r="F42" s="19">
        <v>2029.69</v>
      </c>
      <c r="G42" s="19">
        <f>$B42*'Teva Payments'!E$26</f>
        <v>2213.6464241227</v>
      </c>
      <c r="H42" s="19">
        <f>$B42*'Teva Payments'!F$26</f>
        <v>2213.6464241227</v>
      </c>
      <c r="I42" s="19">
        <f>$B42*'Teva Payments'!G$26</f>
        <v>2213.6464241227</v>
      </c>
      <c r="J42" s="19">
        <f>$B42*'Teva Payments'!H$26</f>
        <v>2213.6464241227</v>
      </c>
      <c r="K42" s="19">
        <f>$B42*'Teva Payments'!I$26</f>
        <v>2213.6464240250016</v>
      </c>
      <c r="L42" s="19">
        <f>$B42*'Teva Payments'!J$26</f>
        <v>2213.6464240250016</v>
      </c>
      <c r="M42" s="19">
        <f>$B42*'Teva Payments'!K$26</f>
        <v>2213.6464240250016</v>
      </c>
      <c r="N42" s="19">
        <f>$B42*'Teva Payments'!L$26</f>
        <v>2213.6464240250016</v>
      </c>
      <c r="O42" s="19">
        <f>$B42*'Teva Payments'!M$26</f>
        <v>2213.6464240250016</v>
      </c>
      <c r="P42" s="19">
        <f>$B42*'Teva Payments'!N$26</f>
        <v>2213.6464240250016</v>
      </c>
      <c r="Q42" s="19">
        <f>$B42*'Teva Payments'!O$26</f>
        <v>2213.6663056876646</v>
      </c>
      <c r="R42" s="39" t="s">
        <v>346</v>
      </c>
      <c r="S42" s="7">
        <f t="shared" si="0"/>
        <v>28362.668232201868</v>
      </c>
    </row>
    <row r="43" spans="1:19" x14ac:dyDescent="0.35">
      <c r="A43" s="3" t="s">
        <v>14</v>
      </c>
      <c r="B43" s="16">
        <v>2.7577829756919563E-5</v>
      </c>
      <c r="C43" s="8" t="s">
        <v>68</v>
      </c>
      <c r="D43" s="33" t="str">
        <f t="shared" si="6"/>
        <v>Yes</v>
      </c>
      <c r="E43" s="19">
        <f>B43*'Teva Payments'!$Q$26</f>
        <v>1327.898144846105</v>
      </c>
      <c r="F43" s="19">
        <v>0</v>
      </c>
      <c r="G43" s="52">
        <f>$B43*'Teva Payments'!E$26</f>
        <v>102.97178791981962</v>
      </c>
      <c r="H43" s="52">
        <f>$B43*'Teva Payments'!F$26</f>
        <v>102.97178791981963</v>
      </c>
      <c r="I43" s="52">
        <f>$B43*'Teva Payments'!G$26</f>
        <v>102.97178791981963</v>
      </c>
      <c r="J43" s="52">
        <f>$B43*'Teva Payments'!H$26</f>
        <v>102.97178791981963</v>
      </c>
      <c r="K43" s="52">
        <f>$B43*'Teva Payments'!I$26</f>
        <v>102.971787915275</v>
      </c>
      <c r="L43" s="52">
        <f>$B43*'Teva Payments'!J$26</f>
        <v>102.971787915275</v>
      </c>
      <c r="M43" s="52">
        <f>$B43*'Teva Payments'!K$26</f>
        <v>102.971787915275</v>
      </c>
      <c r="N43" s="52">
        <f>$B43*'Teva Payments'!L$26</f>
        <v>102.971787915275</v>
      </c>
      <c r="O43" s="52">
        <f>$B43*'Teva Payments'!M$26</f>
        <v>102.971787915275</v>
      </c>
      <c r="P43" s="52">
        <f>$B43*'Teva Payments'!N$26</f>
        <v>102.971787915275</v>
      </c>
      <c r="Q43" s="52">
        <f>$B43*'Teva Payments'!O$26</f>
        <v>102.97271274695947</v>
      </c>
      <c r="R43" s="39" t="s">
        <v>346</v>
      </c>
      <c r="S43" s="7">
        <f>E43</f>
        <v>1327.898144846105</v>
      </c>
    </row>
    <row r="44" spans="1:19" x14ac:dyDescent="0.35">
      <c r="A44" s="3" t="s">
        <v>42</v>
      </c>
      <c r="B44" s="16">
        <v>1.8505476605280003E-2</v>
      </c>
      <c r="C44" s="8" t="s">
        <v>42</v>
      </c>
      <c r="D44" s="33" t="str">
        <f t="shared" si="6"/>
        <v>No</v>
      </c>
      <c r="E44" s="19">
        <f>$B44*'Teva Payments'!C$26</f>
        <v>61892.716235392865</v>
      </c>
      <c r="F44" s="19">
        <v>63354.9</v>
      </c>
      <c r="G44" s="19">
        <f>$B44*'Teva Payments'!E$26</f>
        <v>69096.880688225865</v>
      </c>
      <c r="H44" s="19">
        <f>$B44*'Teva Payments'!F$26</f>
        <v>69096.88068822588</v>
      </c>
      <c r="I44" s="19">
        <f>$B44*'Teva Payments'!G$26</f>
        <v>69096.88068822588</v>
      </c>
      <c r="J44" s="19">
        <f>$B44*'Teva Payments'!H$26</f>
        <v>69096.88068822588</v>
      </c>
      <c r="K44" s="19">
        <f>$B44*'Teva Payments'!I$26</f>
        <v>69096.880685176307</v>
      </c>
      <c r="L44" s="19">
        <f>$B44*'Teva Payments'!J$26</f>
        <v>69096.880685176307</v>
      </c>
      <c r="M44" s="19">
        <f>$B44*'Teva Payments'!K$26</f>
        <v>69096.880685176307</v>
      </c>
      <c r="N44" s="19">
        <f>$B44*'Teva Payments'!L$26</f>
        <v>69096.880685176307</v>
      </c>
      <c r="O44" s="19">
        <f>$B44*'Teva Payments'!M$26</f>
        <v>69096.880685176307</v>
      </c>
      <c r="P44" s="19">
        <f>$B44*'Teva Payments'!N$26</f>
        <v>69096.880685176307</v>
      </c>
      <c r="Q44" s="19">
        <f>$B44*'Teva Payments'!O$26</f>
        <v>69097.501272483263</v>
      </c>
      <c r="R44" s="39" t="s">
        <v>346</v>
      </c>
      <c r="S44" s="7">
        <f t="shared" si="0"/>
        <v>885313.92437183752</v>
      </c>
    </row>
    <row r="45" spans="1:19" x14ac:dyDescent="0.35">
      <c r="A45" s="3" t="s">
        <v>14</v>
      </c>
      <c r="B45" s="16">
        <v>3.3093395469285523E-5</v>
      </c>
      <c r="C45" s="8" t="s">
        <v>69</v>
      </c>
      <c r="D45" s="33" t="str">
        <f t="shared" si="6"/>
        <v>Yes</v>
      </c>
      <c r="E45" s="19">
        <f>B45*'Teva Payments'!$Q$26</f>
        <v>1593.4777623063892</v>
      </c>
      <c r="F45" s="19">
        <v>0</v>
      </c>
      <c r="G45" s="52">
        <f>$B45*'Teva Payments'!E$26</f>
        <v>123.56614461132369</v>
      </c>
      <c r="H45" s="52">
        <f>$B45*'Teva Payments'!F$26</f>
        <v>123.56614461132371</v>
      </c>
      <c r="I45" s="52">
        <f>$B45*'Teva Payments'!G$26</f>
        <v>123.56614461132371</v>
      </c>
      <c r="J45" s="52">
        <f>$B45*'Teva Payments'!H$26</f>
        <v>123.56614461132371</v>
      </c>
      <c r="K45" s="52">
        <f>$B45*'Teva Payments'!I$26</f>
        <v>123.56614460587015</v>
      </c>
      <c r="L45" s="52">
        <f>$B45*'Teva Payments'!J$26</f>
        <v>123.56614460587015</v>
      </c>
      <c r="M45" s="52">
        <f>$B45*'Teva Payments'!K$26</f>
        <v>123.56614460587015</v>
      </c>
      <c r="N45" s="52">
        <f>$B45*'Teva Payments'!L$26</f>
        <v>123.56614460587015</v>
      </c>
      <c r="O45" s="52">
        <f>$B45*'Teva Payments'!M$26</f>
        <v>123.56614460587015</v>
      </c>
      <c r="P45" s="52">
        <f>$B45*'Teva Payments'!N$26</f>
        <v>123.56614460587015</v>
      </c>
      <c r="Q45" s="52">
        <f>$B45*'Teva Payments'!O$26</f>
        <v>123.5672544038835</v>
      </c>
      <c r="R45" s="39" t="s">
        <v>346</v>
      </c>
      <c r="S45" s="7">
        <f>E45</f>
        <v>1593.4777623063892</v>
      </c>
    </row>
    <row r="46" spans="1:19" x14ac:dyDescent="0.35">
      <c r="A46" s="3" t="s">
        <v>22</v>
      </c>
      <c r="B46" s="16">
        <v>2.6353816720000004E-3</v>
      </c>
      <c r="C46" s="8" t="s">
        <v>70</v>
      </c>
      <c r="D46" s="33" t="str">
        <f t="shared" si="6"/>
        <v>No</v>
      </c>
      <c r="E46" s="19">
        <f>$B46*'Teva Payments'!C$26</f>
        <v>8814.197735956297</v>
      </c>
      <c r="F46" s="19">
        <v>9022.43</v>
      </c>
      <c r="G46" s="19">
        <f>$B46*'Teva Payments'!E$26</f>
        <v>9840.1493159146848</v>
      </c>
      <c r="H46" s="19">
        <f>$B46*'Teva Payments'!F$26</f>
        <v>9840.1493159146867</v>
      </c>
      <c r="I46" s="19">
        <f>$B46*'Teva Payments'!G$26</f>
        <v>9840.1493159146867</v>
      </c>
      <c r="J46" s="19">
        <f>$B46*'Teva Payments'!H$26</f>
        <v>9840.1493159146867</v>
      </c>
      <c r="K46" s="19">
        <f>$B46*'Teva Payments'!I$26</f>
        <v>9840.1493154803939</v>
      </c>
      <c r="L46" s="19">
        <f>$B46*'Teva Payments'!J$26</f>
        <v>9840.1493154803939</v>
      </c>
      <c r="M46" s="19">
        <f>$B46*'Teva Payments'!K$26</f>
        <v>9840.1493154803939</v>
      </c>
      <c r="N46" s="19">
        <f>$B46*'Teva Payments'!L$26</f>
        <v>9840.1493154803939</v>
      </c>
      <c r="O46" s="19">
        <f>$B46*'Teva Payments'!M$26</f>
        <v>9840.1493154803939</v>
      </c>
      <c r="P46" s="19">
        <f>$B46*'Teva Payments'!N$26</f>
        <v>9840.1493154803939</v>
      </c>
      <c r="Q46" s="19">
        <f>$B46*'Teva Payments'!O$26</f>
        <v>9840.23769388045</v>
      </c>
      <c r="R46" s="39" t="s">
        <v>346</v>
      </c>
      <c r="S46" s="7">
        <f t="shared" si="0"/>
        <v>126078.35858637783</v>
      </c>
    </row>
    <row r="47" spans="1:19" x14ac:dyDescent="0.35">
      <c r="A47" s="3" t="s">
        <v>14</v>
      </c>
      <c r="B47" s="16">
        <v>1.211863496205807E-4</v>
      </c>
      <c r="C47" s="8" t="s">
        <v>71</v>
      </c>
      <c r="D47" s="33" t="str">
        <f t="shared" si="6"/>
        <v>No</v>
      </c>
      <c r="E47" s="19">
        <f>$B47*'Teva Payments'!C$26</f>
        <v>405.31527550766486</v>
      </c>
      <c r="F47" s="19">
        <v>414.89</v>
      </c>
      <c r="G47" s="19">
        <f>$B47*'Teva Payments'!E$26</f>
        <v>452.493006226369</v>
      </c>
      <c r="H47" s="19">
        <f>$B47*'Teva Payments'!F$26</f>
        <v>452.49300622636906</v>
      </c>
      <c r="I47" s="19">
        <f>$B47*'Teva Payments'!G$26</f>
        <v>452.49300622636906</v>
      </c>
      <c r="J47" s="19">
        <f>$B47*'Teva Payments'!H$26</f>
        <v>452.49300622636906</v>
      </c>
      <c r="K47" s="19">
        <f>$B47*'Teva Payments'!I$26</f>
        <v>452.49300620639843</v>
      </c>
      <c r="L47" s="19">
        <f>$B47*'Teva Payments'!J$26</f>
        <v>452.49300620639843</v>
      </c>
      <c r="M47" s="19">
        <f>$B47*'Teva Payments'!K$26</f>
        <v>452.49300620639843</v>
      </c>
      <c r="N47" s="19">
        <f>$B47*'Teva Payments'!L$26</f>
        <v>452.49300620639843</v>
      </c>
      <c r="O47" s="19">
        <f>$B47*'Teva Payments'!M$26</f>
        <v>452.49300620639843</v>
      </c>
      <c r="P47" s="19">
        <f>$B47*'Teva Payments'!N$26</f>
        <v>452.49300620639843</v>
      </c>
      <c r="Q47" s="19">
        <f>$B47*'Teva Payments'!O$26</f>
        <v>452.49707023090082</v>
      </c>
      <c r="R47" s="39" t="s">
        <v>346</v>
      </c>
      <c r="S47" s="7">
        <f t="shared" si="0"/>
        <v>5797.6324078824337</v>
      </c>
    </row>
    <row r="48" spans="1:19" x14ac:dyDescent="0.35">
      <c r="A48" s="3" t="s">
        <v>72</v>
      </c>
      <c r="B48" s="16">
        <v>4.1274553924800002E-3</v>
      </c>
      <c r="C48" s="8" t="s">
        <v>72</v>
      </c>
      <c r="D48" s="33" t="str">
        <f t="shared" si="6"/>
        <v>No</v>
      </c>
      <c r="E48" s="19">
        <f>$B48*'Teva Payments'!C$26</f>
        <v>13804.5309953335</v>
      </c>
      <c r="F48" s="19">
        <v>14130.66</v>
      </c>
      <c r="G48" s="19">
        <f>$B48*'Teva Payments'!E$26</f>
        <v>15411.345456446828</v>
      </c>
      <c r="H48" s="19">
        <f>$B48*'Teva Payments'!F$26</f>
        <v>15411.34545644683</v>
      </c>
      <c r="I48" s="19">
        <f>$B48*'Teva Payments'!G$26</f>
        <v>15411.34545644683</v>
      </c>
      <c r="J48" s="19">
        <f>$B48*'Teva Payments'!H$26</f>
        <v>15411.34545644683</v>
      </c>
      <c r="K48" s="19">
        <f>$B48*'Teva Payments'!I$26</f>
        <v>15411.345455766656</v>
      </c>
      <c r="L48" s="19">
        <f>$B48*'Teva Payments'!J$26</f>
        <v>15411.345455766656</v>
      </c>
      <c r="M48" s="19">
        <f>$B48*'Teva Payments'!K$26</f>
        <v>15411.345455766656</v>
      </c>
      <c r="N48" s="19">
        <f>$B48*'Teva Payments'!L$26</f>
        <v>15411.345455766656</v>
      </c>
      <c r="O48" s="19">
        <f>$B48*'Teva Payments'!M$26</f>
        <v>15411.345455766656</v>
      </c>
      <c r="P48" s="19">
        <f>$B48*'Teva Payments'!N$26</f>
        <v>15411.345455766656</v>
      </c>
      <c r="Q48" s="19">
        <f>$B48*'Teva Payments'!O$26</f>
        <v>15411.483871354714</v>
      </c>
      <c r="R48" s="39" t="s">
        <v>346</v>
      </c>
      <c r="S48" s="7">
        <f t="shared" si="0"/>
        <v>197460.12942707544</v>
      </c>
    </row>
    <row r="49" spans="1:19" x14ac:dyDescent="0.35">
      <c r="A49" s="3" t="s">
        <v>73</v>
      </c>
      <c r="B49" s="16">
        <v>2.1428580409600002E-3</v>
      </c>
      <c r="C49" s="8" t="s">
        <v>73</v>
      </c>
      <c r="D49" s="33" t="str">
        <f t="shared" si="6"/>
        <v>No</v>
      </c>
      <c r="E49" s="19">
        <f>$B49*'Teva Payments'!C$26</f>
        <v>7166.9218518817179</v>
      </c>
      <c r="F49" s="19">
        <v>7336.24</v>
      </c>
      <c r="G49" s="19">
        <f>$B49*'Teva Payments'!E$26</f>
        <v>8001.1344504238568</v>
      </c>
      <c r="H49" s="19">
        <f>$B49*'Teva Payments'!F$26</f>
        <v>8001.1344504238577</v>
      </c>
      <c r="I49" s="19">
        <f>$B49*'Teva Payments'!G$26</f>
        <v>8001.1344504238577</v>
      </c>
      <c r="J49" s="19">
        <f>$B49*'Teva Payments'!H$26</f>
        <v>8001.1344504238577</v>
      </c>
      <c r="K49" s="19">
        <f>$B49*'Teva Payments'!I$26</f>
        <v>8001.1344500707301</v>
      </c>
      <c r="L49" s="19">
        <f>$B49*'Teva Payments'!J$26</f>
        <v>8001.1344500707301</v>
      </c>
      <c r="M49" s="19">
        <f>$B49*'Teva Payments'!K$26</f>
        <v>8001.1344500707301</v>
      </c>
      <c r="N49" s="19">
        <f>$B49*'Teva Payments'!L$26</f>
        <v>8001.1344500707301</v>
      </c>
      <c r="O49" s="19">
        <f>$B49*'Teva Payments'!M$26</f>
        <v>8001.1344500707301</v>
      </c>
      <c r="P49" s="19">
        <f>$B49*'Teva Payments'!N$26</f>
        <v>8001.1344500707301</v>
      </c>
      <c r="Q49" s="19">
        <f>$B49*'Teva Payments'!O$26</f>
        <v>8001.2063115271631</v>
      </c>
      <c r="R49" s="39" t="s">
        <v>346</v>
      </c>
      <c r="S49" s="7">
        <f t="shared" si="0"/>
        <v>102515.7126655287</v>
      </c>
    </row>
    <row r="50" spans="1:19" x14ac:dyDescent="0.35">
      <c r="A50" s="3" t="s">
        <v>74</v>
      </c>
      <c r="B50" s="16">
        <v>3.1672388092800004E-3</v>
      </c>
      <c r="C50" s="8" t="s">
        <v>74</v>
      </c>
      <c r="D50" s="33" t="str">
        <f t="shared" si="6"/>
        <v>No</v>
      </c>
      <c r="E50" s="19">
        <f>$B50*'Teva Payments'!C$26</f>
        <v>10593.026975406807</v>
      </c>
      <c r="F50" s="19">
        <v>10843.28</v>
      </c>
      <c r="G50" s="19">
        <f>$B50*'Teva Payments'!E$26</f>
        <v>11826.030033373865</v>
      </c>
      <c r="H50" s="19">
        <f>$B50*'Teva Payments'!F$26</f>
        <v>11826.030033373867</v>
      </c>
      <c r="I50" s="19">
        <f>$B50*'Teva Payments'!G$26</f>
        <v>11826.030033373867</v>
      </c>
      <c r="J50" s="19">
        <f>$B50*'Teva Payments'!H$26</f>
        <v>11826.030033373867</v>
      </c>
      <c r="K50" s="19">
        <f>$B50*'Teva Payments'!I$26</f>
        <v>11826.030032851928</v>
      </c>
      <c r="L50" s="19">
        <f>$B50*'Teva Payments'!J$26</f>
        <v>11826.030032851928</v>
      </c>
      <c r="M50" s="19">
        <f>$B50*'Teva Payments'!K$26</f>
        <v>11826.030032851928</v>
      </c>
      <c r="N50" s="19">
        <f>$B50*'Teva Payments'!L$26</f>
        <v>11826.030032851928</v>
      </c>
      <c r="O50" s="19">
        <f>$B50*'Teva Payments'!M$26</f>
        <v>11826.030032851928</v>
      </c>
      <c r="P50" s="19">
        <f>$B50*'Teva Payments'!N$26</f>
        <v>11826.030032851928</v>
      </c>
      <c r="Q50" s="19">
        <f>$B50*'Teva Payments'!O$26</f>
        <v>11826.136247257808</v>
      </c>
      <c r="R50" s="39" t="s">
        <v>346</v>
      </c>
      <c r="S50" s="7">
        <f t="shared" si="0"/>
        <v>151522.74355327163</v>
      </c>
    </row>
    <row r="51" spans="1:19" x14ac:dyDescent="0.35">
      <c r="A51" s="3" t="s">
        <v>75</v>
      </c>
      <c r="B51" s="16">
        <v>1.2625116440371095E-3</v>
      </c>
      <c r="C51" s="8" t="s">
        <v>76</v>
      </c>
      <c r="D51" s="33" t="str">
        <f t="shared" si="6"/>
        <v>No</v>
      </c>
      <c r="E51" s="19">
        <f>$B51*'Teva Payments'!C$26</f>
        <v>4222.548632223451</v>
      </c>
      <c r="F51" s="19">
        <v>4322.3</v>
      </c>
      <c r="G51" s="19">
        <f>$B51*'Teva Payments'!E$26</f>
        <v>4714.0432152197518</v>
      </c>
      <c r="H51" s="19">
        <f>$B51*'Teva Payments'!F$26</f>
        <v>4714.0432152197527</v>
      </c>
      <c r="I51" s="19">
        <f>$B51*'Teva Payments'!G$26</f>
        <v>4714.0432152197527</v>
      </c>
      <c r="J51" s="19">
        <f>$B51*'Teva Payments'!H$26</f>
        <v>4714.0432152197527</v>
      </c>
      <c r="K51" s="19">
        <f>$B51*'Teva Payments'!I$26</f>
        <v>4714.0432150116994</v>
      </c>
      <c r="L51" s="19">
        <f>$B51*'Teva Payments'!J$26</f>
        <v>4714.0432150116994</v>
      </c>
      <c r="M51" s="19">
        <f>$B51*'Teva Payments'!K$26</f>
        <v>4714.0432150116994</v>
      </c>
      <c r="N51" s="19">
        <f>$B51*'Teva Payments'!L$26</f>
        <v>4714.0432150116994</v>
      </c>
      <c r="O51" s="19">
        <f>$B51*'Teva Payments'!M$26</f>
        <v>4714.0432150116994</v>
      </c>
      <c r="P51" s="19">
        <f>$B51*'Teva Payments'!N$26</f>
        <v>4714.0432150116994</v>
      </c>
      <c r="Q51" s="19">
        <f>$B51*'Teva Payments'!O$26</f>
        <v>4714.0855537591897</v>
      </c>
      <c r="R51" s="39" t="s">
        <v>346</v>
      </c>
      <c r="S51" s="7">
        <f t="shared" si="0"/>
        <v>60399.366336931846</v>
      </c>
    </row>
    <row r="52" spans="1:19" x14ac:dyDescent="0.35">
      <c r="A52" s="3" t="s">
        <v>77</v>
      </c>
      <c r="B52" s="16">
        <v>2.6802056915200003E-3</v>
      </c>
      <c r="C52" s="8" t="s">
        <v>77</v>
      </c>
      <c r="D52" s="33" t="str">
        <f t="shared" si="6"/>
        <v>No</v>
      </c>
      <c r="E52" s="19">
        <f>$B52*'Teva Payments'!C$26</f>
        <v>8964.1144541179638</v>
      </c>
      <c r="F52" s="19">
        <v>9175.89</v>
      </c>
      <c r="G52" s="19">
        <f>$B52*'Teva Payments'!E$26</f>
        <v>10007.515982269901</v>
      </c>
      <c r="H52" s="19">
        <f>$B52*'Teva Payments'!F$26</f>
        <v>10007.515982269901</v>
      </c>
      <c r="I52" s="19">
        <f>$B52*'Teva Payments'!G$26</f>
        <v>10007.515982269901</v>
      </c>
      <c r="J52" s="19">
        <f>$B52*'Teva Payments'!H$26</f>
        <v>10007.515982269901</v>
      </c>
      <c r="K52" s="19">
        <f>$B52*'Teva Payments'!I$26</f>
        <v>10007.515981828223</v>
      </c>
      <c r="L52" s="19">
        <f>$B52*'Teva Payments'!J$26</f>
        <v>10007.515981828223</v>
      </c>
      <c r="M52" s="19">
        <f>$B52*'Teva Payments'!K$26</f>
        <v>10007.515981828223</v>
      </c>
      <c r="N52" s="19">
        <f>$B52*'Teva Payments'!L$26</f>
        <v>10007.515981828223</v>
      </c>
      <c r="O52" s="19">
        <f>$B52*'Teva Payments'!M$26</f>
        <v>10007.515981828223</v>
      </c>
      <c r="P52" s="19">
        <f>$B52*'Teva Payments'!N$26</f>
        <v>10007.515981828223</v>
      </c>
      <c r="Q52" s="19">
        <f>$B52*'Teva Payments'!O$26</f>
        <v>10007.605863416667</v>
      </c>
      <c r="R52" s="39" t="s">
        <v>346</v>
      </c>
      <c r="S52" s="7">
        <f t="shared" si="0"/>
        <v>128222.77013758359</v>
      </c>
    </row>
    <row r="53" spans="1:19" x14ac:dyDescent="0.35">
      <c r="A53" s="3" t="s">
        <v>78</v>
      </c>
      <c r="B53" s="16">
        <v>2.7998174328112426E-3</v>
      </c>
      <c r="C53" s="8" t="s">
        <v>78</v>
      </c>
      <c r="D53" s="33" t="str">
        <f t="shared" si="6"/>
        <v>No</v>
      </c>
      <c r="E53" s="19">
        <f>$B53*'Teva Payments'!C$26</f>
        <v>9364.163354239121</v>
      </c>
      <c r="F53" s="19">
        <v>9585.39</v>
      </c>
      <c r="G53" s="19">
        <f>$B53*'Teva Payments'!E$26</f>
        <v>10454.129619583829</v>
      </c>
      <c r="H53" s="19">
        <f>$B53*'Teva Payments'!F$26</f>
        <v>10454.129619583829</v>
      </c>
      <c r="I53" s="19">
        <f>$B53*'Teva Payments'!G$26</f>
        <v>10454.129619583829</v>
      </c>
      <c r="J53" s="19">
        <f>$B53*'Teva Payments'!H$26</f>
        <v>10454.129619583829</v>
      </c>
      <c r="K53" s="19">
        <f>$B53*'Teva Payments'!I$26</f>
        <v>10454.129619122439</v>
      </c>
      <c r="L53" s="19">
        <f>$B53*'Teva Payments'!J$26</f>
        <v>10454.129619122439</v>
      </c>
      <c r="M53" s="19">
        <f>$B53*'Teva Payments'!K$26</f>
        <v>10454.129619122439</v>
      </c>
      <c r="N53" s="19">
        <f>$B53*'Teva Payments'!L$26</f>
        <v>10454.129619122439</v>
      </c>
      <c r="O53" s="19">
        <f>$B53*'Teva Payments'!M$26</f>
        <v>10454.129619122439</v>
      </c>
      <c r="P53" s="19">
        <f>$B53*'Teva Payments'!N$26</f>
        <v>10454.129619122439</v>
      </c>
      <c r="Q53" s="19">
        <f>$B53*'Teva Payments'!O$26</f>
        <v>10454.223511930373</v>
      </c>
      <c r="R53" s="39" t="s">
        <v>346</v>
      </c>
      <c r="S53" s="7">
        <f t="shared" si="0"/>
        <v>133945.07305923945</v>
      </c>
    </row>
    <row r="54" spans="1:19" x14ac:dyDescent="0.35">
      <c r="A54" s="3" t="s">
        <v>34</v>
      </c>
      <c r="B54" s="16">
        <v>1.3949733207608273E-4</v>
      </c>
      <c r="C54" s="8" t="s">
        <v>79</v>
      </c>
      <c r="D54" s="33" t="str">
        <f t="shared" si="6"/>
        <v>No</v>
      </c>
      <c r="E54" s="19">
        <f>$B54*'Teva Payments'!C$26</f>
        <v>466.55749397537437</v>
      </c>
      <c r="F54" s="19">
        <v>477.58</v>
      </c>
      <c r="G54" s="19">
        <f>$B54*'Teva Payments'!E$26</f>
        <v>520.86367275927114</v>
      </c>
      <c r="H54" s="19">
        <f>$B54*'Teva Payments'!F$26</f>
        <v>520.86367275927125</v>
      </c>
      <c r="I54" s="19">
        <f>$B54*'Teva Payments'!G$26</f>
        <v>520.86367275927125</v>
      </c>
      <c r="J54" s="19">
        <f>$B54*'Teva Payments'!H$26</f>
        <v>520.86367275927125</v>
      </c>
      <c r="K54" s="19">
        <f>$B54*'Teva Payments'!I$26</f>
        <v>520.86367273628309</v>
      </c>
      <c r="L54" s="19">
        <f>$B54*'Teva Payments'!J$26</f>
        <v>520.86367273628309</v>
      </c>
      <c r="M54" s="19">
        <f>$B54*'Teva Payments'!K$26</f>
        <v>520.86367273628309</v>
      </c>
      <c r="N54" s="19">
        <f>$B54*'Teva Payments'!L$26</f>
        <v>520.86367273628309</v>
      </c>
      <c r="O54" s="19">
        <f>$B54*'Teva Payments'!M$26</f>
        <v>520.86367273628309</v>
      </c>
      <c r="P54" s="19">
        <f>$B54*'Teva Payments'!N$26</f>
        <v>520.86367273628309</v>
      </c>
      <c r="Q54" s="19">
        <f>$B54*'Teva Payments'!O$26</f>
        <v>520.86835082566643</v>
      </c>
      <c r="R54" s="39" t="s">
        <v>346</v>
      </c>
      <c r="S54" s="7">
        <f t="shared" si="0"/>
        <v>6673.6425722558233</v>
      </c>
    </row>
    <row r="55" spans="1:19" x14ac:dyDescent="0.35">
      <c r="A55" s="3" t="s">
        <v>75</v>
      </c>
      <c r="B55" s="16">
        <v>6.5243179433600003E-3</v>
      </c>
      <c r="C55" s="8" t="s">
        <v>80</v>
      </c>
      <c r="D55" s="33" t="str">
        <f t="shared" si="6"/>
        <v>No</v>
      </c>
      <c r="E55" s="19">
        <f>$B55*'Teva Payments'!C$26</f>
        <v>21820.986711720121</v>
      </c>
      <c r="F55" s="19">
        <v>22336.5</v>
      </c>
      <c r="G55" s="19">
        <f>$B55*'Teva Payments'!E$26</f>
        <v>24360.897485654139</v>
      </c>
      <c r="H55" s="19">
        <f>$B55*'Teva Payments'!F$26</f>
        <v>24360.897485654143</v>
      </c>
      <c r="I55" s="19">
        <f>$B55*'Teva Payments'!G$26</f>
        <v>24360.897485654143</v>
      </c>
      <c r="J55" s="19">
        <f>$B55*'Teva Payments'!H$26</f>
        <v>24360.897485654143</v>
      </c>
      <c r="K55" s="19">
        <f>$B55*'Teva Payments'!I$26</f>
        <v>24360.897484578982</v>
      </c>
      <c r="L55" s="19">
        <f>$B55*'Teva Payments'!J$26</f>
        <v>24360.897484578982</v>
      </c>
      <c r="M55" s="19">
        <f>$B55*'Teva Payments'!K$26</f>
        <v>24360.897484578982</v>
      </c>
      <c r="N55" s="19">
        <f>$B55*'Teva Payments'!L$26</f>
        <v>24360.897484578982</v>
      </c>
      <c r="O55" s="19">
        <f>$B55*'Teva Payments'!M$26</f>
        <v>24360.897484578982</v>
      </c>
      <c r="P55" s="19">
        <f>$B55*'Teva Payments'!N$26</f>
        <v>24360.897484578982</v>
      </c>
      <c r="Q55" s="19">
        <f>$B55*'Teva Payments'!O$26</f>
        <v>24361.116279749112</v>
      </c>
      <c r="R55" s="39" t="s">
        <v>346</v>
      </c>
      <c r="S55" s="7">
        <f t="shared" si="0"/>
        <v>312127.57784155966</v>
      </c>
    </row>
    <row r="56" spans="1:19" x14ac:dyDescent="0.35">
      <c r="A56" s="3" t="s">
        <v>40</v>
      </c>
      <c r="B56" s="16">
        <v>5.4026690121600001E-3</v>
      </c>
      <c r="C56" s="8" t="s">
        <v>40</v>
      </c>
      <c r="D56" s="33" t="str">
        <f t="shared" si="6"/>
        <v>No</v>
      </c>
      <c r="E56" s="19">
        <f>$B56*'Teva Payments'!C$26</f>
        <v>18069.562174257204</v>
      </c>
      <c r="F56" s="19">
        <v>18496.45</v>
      </c>
      <c r="G56" s="19">
        <f>$B56*'Teva Payments'!E$26</f>
        <v>20172.816085411283</v>
      </c>
      <c r="H56" s="19">
        <f>$B56*'Teva Payments'!F$26</f>
        <v>20172.816085411287</v>
      </c>
      <c r="I56" s="19">
        <f>$B56*'Teva Payments'!G$26</f>
        <v>20172.816085411287</v>
      </c>
      <c r="J56" s="19">
        <f>$B56*'Teva Payments'!H$26</f>
        <v>20172.816085411287</v>
      </c>
      <c r="K56" s="19">
        <f>$B56*'Teva Payments'!I$26</f>
        <v>20172.816084520964</v>
      </c>
      <c r="L56" s="19">
        <f>$B56*'Teva Payments'!J$26</f>
        <v>20172.816084520964</v>
      </c>
      <c r="M56" s="19">
        <f>$B56*'Teva Payments'!K$26</f>
        <v>20172.816084520964</v>
      </c>
      <c r="N56" s="19">
        <f>$B56*'Teva Payments'!L$26</f>
        <v>20172.816084520964</v>
      </c>
      <c r="O56" s="19">
        <f>$B56*'Teva Payments'!M$26</f>
        <v>20172.816084520964</v>
      </c>
      <c r="P56" s="19">
        <f>$B56*'Teva Payments'!N$26</f>
        <v>20172.816084520964</v>
      </c>
      <c r="Q56" s="19">
        <f>$B56*'Teva Payments'!O$26</f>
        <v>20172.997264821486</v>
      </c>
      <c r="R56" s="39" t="s">
        <v>346</v>
      </c>
      <c r="S56" s="7">
        <f t="shared" si="0"/>
        <v>258467.17028784956</v>
      </c>
    </row>
    <row r="57" spans="1:19" x14ac:dyDescent="0.35">
      <c r="A57" s="3" t="s">
        <v>58</v>
      </c>
      <c r="B57" s="16">
        <v>7.7283577009453522E-5</v>
      </c>
      <c r="C57" s="8" t="s">
        <v>81</v>
      </c>
      <c r="D57" s="33" t="str">
        <f t="shared" si="6"/>
        <v>Yes</v>
      </c>
      <c r="E57" s="19">
        <f>B57*'Teva Payments'!$Q$26</f>
        <v>3721.2760917916253</v>
      </c>
      <c r="F57" s="19">
        <v>0</v>
      </c>
      <c r="G57" s="52">
        <f>$B57*'Teva Payments'!E$26</f>
        <v>288.56614794011278</v>
      </c>
      <c r="H57" s="52">
        <f>$B57*'Teva Payments'!F$26</f>
        <v>288.56614794011284</v>
      </c>
      <c r="I57" s="52">
        <f>$B57*'Teva Payments'!G$26</f>
        <v>288.56614794011284</v>
      </c>
      <c r="J57" s="52">
        <f>$B57*'Teva Payments'!H$26</f>
        <v>288.56614794011284</v>
      </c>
      <c r="K57" s="52">
        <f>$B57*'Teva Payments'!I$26</f>
        <v>288.56614792737707</v>
      </c>
      <c r="L57" s="52">
        <f>$B57*'Teva Payments'!J$26</f>
        <v>288.56614792737707</v>
      </c>
      <c r="M57" s="52">
        <f>$B57*'Teva Payments'!K$26</f>
        <v>288.56614792737707</v>
      </c>
      <c r="N57" s="52">
        <f>$B57*'Teva Payments'!L$26</f>
        <v>288.56614792737707</v>
      </c>
      <c r="O57" s="52">
        <f>$B57*'Teva Payments'!M$26</f>
        <v>288.56614792737707</v>
      </c>
      <c r="P57" s="52">
        <f>$B57*'Teva Payments'!N$26</f>
        <v>288.56614792737707</v>
      </c>
      <c r="Q57" s="52">
        <f>$B57*'Teva Payments'!O$26</f>
        <v>288.56873965781188</v>
      </c>
      <c r="R57" s="39" t="s">
        <v>346</v>
      </c>
      <c r="S57" s="7">
        <f>E57</f>
        <v>3721.2760917916253</v>
      </c>
    </row>
    <row r="58" spans="1:19" x14ac:dyDescent="0.35">
      <c r="A58" s="3" t="s">
        <v>34</v>
      </c>
      <c r="B58" s="16">
        <v>1.9885436190897308E-4</v>
      </c>
      <c r="C58" s="8" t="s">
        <v>82</v>
      </c>
      <c r="D58" s="8" t="s">
        <v>337</v>
      </c>
      <c r="E58" s="19">
        <v>0</v>
      </c>
      <c r="F58" s="19">
        <v>0</v>
      </c>
      <c r="G58" s="19">
        <v>0</v>
      </c>
      <c r="H58" s="19">
        <v>0</v>
      </c>
      <c r="I58" s="19">
        <v>0</v>
      </c>
      <c r="J58" s="19">
        <v>0</v>
      </c>
      <c r="K58" s="19">
        <v>0</v>
      </c>
      <c r="L58" s="19">
        <v>0</v>
      </c>
      <c r="M58" s="19">
        <v>0</v>
      </c>
      <c r="N58" s="19">
        <v>0</v>
      </c>
      <c r="O58" s="19">
        <v>0</v>
      </c>
      <c r="P58" s="19">
        <v>0</v>
      </c>
      <c r="Q58" s="19">
        <v>0</v>
      </c>
      <c r="R58" s="39" t="s">
        <v>346</v>
      </c>
      <c r="S58" s="7">
        <f t="shared" si="0"/>
        <v>0</v>
      </c>
    </row>
    <row r="59" spans="1:19" x14ac:dyDescent="0.35">
      <c r="A59" s="3" t="s">
        <v>83</v>
      </c>
      <c r="B59" s="16">
        <v>8.4518667745893796E-5</v>
      </c>
      <c r="C59" s="8" t="s">
        <v>84</v>
      </c>
      <c r="D59" s="33" t="str">
        <f t="shared" ref="D59:D98" si="7">IF(B59&lt;0.000083,"Yes","No")</f>
        <v>No</v>
      </c>
      <c r="E59" s="19">
        <f>$B59*'Teva Payments'!C$26</f>
        <v>282.67793534685381</v>
      </c>
      <c r="F59" s="19">
        <v>289.36</v>
      </c>
      <c r="G59" s="19">
        <f>$B59*'Teva Payments'!E$26</f>
        <v>315.58097236466523</v>
      </c>
      <c r="H59" s="19">
        <f>$B59*'Teva Payments'!F$26</f>
        <v>315.58097236466529</v>
      </c>
      <c r="I59" s="19">
        <f>$B59*'Teva Payments'!G$26</f>
        <v>315.58097236466529</v>
      </c>
      <c r="J59" s="19">
        <f>$B59*'Teva Payments'!H$26</f>
        <v>315.58097236466529</v>
      </c>
      <c r="K59" s="19">
        <f>$B59*'Teva Payments'!I$26</f>
        <v>315.58097235073723</v>
      </c>
      <c r="L59" s="19">
        <f>$B59*'Teva Payments'!J$26</f>
        <v>315.58097235073723</v>
      </c>
      <c r="M59" s="19">
        <f>$B59*'Teva Payments'!K$26</f>
        <v>315.58097235073723</v>
      </c>
      <c r="N59" s="19">
        <f>$B59*'Teva Payments'!L$26</f>
        <v>315.58097235073723</v>
      </c>
      <c r="O59" s="19">
        <f>$B59*'Teva Payments'!M$26</f>
        <v>315.58097235073723</v>
      </c>
      <c r="P59" s="19">
        <f>$B59*'Teva Payments'!N$26</f>
        <v>315.58097235073723</v>
      </c>
      <c r="Q59" s="19">
        <f>$B59*'Teva Payments'!O$26</f>
        <v>315.58380671234391</v>
      </c>
      <c r="R59" s="39" t="s">
        <v>346</v>
      </c>
      <c r="S59" s="7">
        <f t="shared" si="0"/>
        <v>4043.4314656222828</v>
      </c>
    </row>
    <row r="60" spans="1:19" x14ac:dyDescent="0.35">
      <c r="A60" s="3" t="s">
        <v>83</v>
      </c>
      <c r="B60" s="16">
        <v>9.5907662226293643E-6</v>
      </c>
      <c r="C60" s="8" t="s">
        <v>85</v>
      </c>
      <c r="D60" s="33" t="str">
        <f t="shared" si="7"/>
        <v>Yes</v>
      </c>
      <c r="E60" s="19">
        <f>B60*'Teva Payments'!$Q$26</f>
        <v>461.80431117813885</v>
      </c>
      <c r="F60" s="19">
        <v>0</v>
      </c>
      <c r="G60" s="52">
        <f>$B60*'Teva Payments'!E$26</f>
        <v>35.810589671849243</v>
      </c>
      <c r="H60" s="52">
        <f>$B60*'Teva Payments'!F$26</f>
        <v>35.81058967184925</v>
      </c>
      <c r="I60" s="52">
        <f>$B60*'Teva Payments'!G$26</f>
        <v>35.81058967184925</v>
      </c>
      <c r="J60" s="52">
        <f>$B60*'Teva Payments'!H$26</f>
        <v>35.81058967184925</v>
      </c>
      <c r="K60" s="52">
        <f>$B60*'Teva Payments'!I$26</f>
        <v>35.810589670268762</v>
      </c>
      <c r="L60" s="52">
        <f>$B60*'Teva Payments'!J$26</f>
        <v>35.810589670268762</v>
      </c>
      <c r="M60" s="52">
        <f>$B60*'Teva Payments'!K$26</f>
        <v>35.810589670268762</v>
      </c>
      <c r="N60" s="52">
        <f>$B60*'Teva Payments'!L$26</f>
        <v>35.810589670268762</v>
      </c>
      <c r="O60" s="52">
        <f>$B60*'Teva Payments'!M$26</f>
        <v>35.810589670268762</v>
      </c>
      <c r="P60" s="52">
        <f>$B60*'Teva Payments'!N$26</f>
        <v>35.810589670268762</v>
      </c>
      <c r="Q60" s="52">
        <f>$B60*'Teva Payments'!O$26</f>
        <v>35.810911299800857</v>
      </c>
      <c r="R60" s="39" t="s">
        <v>346</v>
      </c>
      <c r="S60" s="7">
        <f>E60</f>
        <v>461.80431117813885</v>
      </c>
    </row>
    <row r="61" spans="1:19" x14ac:dyDescent="0.35">
      <c r="A61" s="3" t="s">
        <v>86</v>
      </c>
      <c r="B61" s="16">
        <v>2.88625325072E-3</v>
      </c>
      <c r="C61" s="8" t="s">
        <v>86</v>
      </c>
      <c r="D61" s="33" t="str">
        <f t="shared" si="7"/>
        <v>No</v>
      </c>
      <c r="E61" s="19">
        <f>$B61*'Teva Payments'!C$26</f>
        <v>9653.253317416531</v>
      </c>
      <c r="F61" s="19">
        <v>9881.31</v>
      </c>
      <c r="G61" s="19">
        <f>$B61*'Teva Payments'!E$26</f>
        <v>10776.868964515186</v>
      </c>
      <c r="H61" s="19">
        <f>$B61*'Teva Payments'!F$26</f>
        <v>10776.868964515188</v>
      </c>
      <c r="I61" s="19">
        <f>$B61*'Teva Payments'!G$26</f>
        <v>10776.868964515188</v>
      </c>
      <c r="J61" s="19">
        <f>$B61*'Teva Payments'!H$26</f>
        <v>10776.868964515188</v>
      </c>
      <c r="K61" s="19">
        <f>$B61*'Teva Payments'!I$26</f>
        <v>10776.868964039553</v>
      </c>
      <c r="L61" s="19">
        <f>$B61*'Teva Payments'!J$26</f>
        <v>10776.868964039553</v>
      </c>
      <c r="M61" s="19">
        <f>$B61*'Teva Payments'!K$26</f>
        <v>10776.868964039553</v>
      </c>
      <c r="N61" s="19">
        <f>$B61*'Teva Payments'!L$26</f>
        <v>10776.868964039553</v>
      </c>
      <c r="O61" s="19">
        <f>$B61*'Teva Payments'!M$26</f>
        <v>10776.868964039553</v>
      </c>
      <c r="P61" s="19">
        <f>$B61*'Teva Payments'!N$26</f>
        <v>10776.868964039553</v>
      </c>
      <c r="Q61" s="19">
        <f>$B61*'Teva Payments'!O$26</f>
        <v>10776.965755501362</v>
      </c>
      <c r="R61" s="39" t="s">
        <v>346</v>
      </c>
      <c r="S61" s="7">
        <f t="shared" si="0"/>
        <v>138080.21871521592</v>
      </c>
    </row>
    <row r="62" spans="1:19" x14ac:dyDescent="0.35">
      <c r="A62" s="3" t="s">
        <v>63</v>
      </c>
      <c r="B62" s="16">
        <v>8.8446355339343792E-5</v>
      </c>
      <c r="C62" s="8" t="s">
        <v>87</v>
      </c>
      <c r="D62" s="33" t="str">
        <f t="shared" si="7"/>
        <v>No</v>
      </c>
      <c r="E62" s="19">
        <f>$B62*'Teva Payments'!C$26</f>
        <v>295.8143305269333</v>
      </c>
      <c r="F62" s="19">
        <v>302.8</v>
      </c>
      <c r="G62" s="19">
        <f>$B62*'Teva Payments'!E$26</f>
        <v>330.24641259157653</v>
      </c>
      <c r="H62" s="19">
        <f>$B62*'Teva Payments'!F$26</f>
        <v>330.24641259157659</v>
      </c>
      <c r="I62" s="19">
        <f>$B62*'Teva Payments'!G$26</f>
        <v>330.24641259157659</v>
      </c>
      <c r="J62" s="19">
        <f>$B62*'Teva Payments'!H$26</f>
        <v>330.24641259157659</v>
      </c>
      <c r="K62" s="19">
        <f>$B62*'Teva Payments'!I$26</f>
        <v>330.24641257700125</v>
      </c>
      <c r="L62" s="19">
        <f>$B62*'Teva Payments'!J$26</f>
        <v>330.24641257700125</v>
      </c>
      <c r="M62" s="19">
        <f>$B62*'Teva Payments'!K$26</f>
        <v>330.24641257700125</v>
      </c>
      <c r="N62" s="19">
        <f>$B62*'Teva Payments'!L$26</f>
        <v>330.24641257700125</v>
      </c>
      <c r="O62" s="19">
        <f>$B62*'Teva Payments'!M$26</f>
        <v>330.24641257700125</v>
      </c>
      <c r="P62" s="19">
        <f>$B62*'Teva Payments'!N$26</f>
        <v>330.24641257700125</v>
      </c>
      <c r="Q62" s="19">
        <f>$B62*'Teva Payments'!O$26</f>
        <v>330.24937865491654</v>
      </c>
      <c r="R62" s="39" t="s">
        <v>346</v>
      </c>
      <c r="S62" s="7">
        <f t="shared" si="0"/>
        <v>4231.3278350101627</v>
      </c>
    </row>
    <row r="63" spans="1:19" x14ac:dyDescent="0.35">
      <c r="A63" s="3" t="s">
        <v>22</v>
      </c>
      <c r="B63" s="16">
        <v>2.9965833191952238E-3</v>
      </c>
      <c r="C63" s="8" t="s">
        <v>88</v>
      </c>
      <c r="D63" s="33" t="str">
        <f t="shared" si="7"/>
        <v>No</v>
      </c>
      <c r="E63" s="19">
        <f>$B63*'Teva Payments'!C$26</f>
        <v>10022.259086142321</v>
      </c>
      <c r="F63" s="19">
        <v>10259.030000000001</v>
      </c>
      <c r="G63" s="19">
        <f>$B63*'Teva Payments'!E$26</f>
        <v>11188.826124028776</v>
      </c>
      <c r="H63" s="19">
        <f>$B63*'Teva Payments'!F$26</f>
        <v>11188.826124028777</v>
      </c>
      <c r="I63" s="19">
        <f>$B63*'Teva Payments'!G$26</f>
        <v>11188.826124028777</v>
      </c>
      <c r="J63" s="19">
        <f>$B63*'Teva Payments'!H$26</f>
        <v>11188.826124028777</v>
      </c>
      <c r="K63" s="19">
        <f>$B63*'Teva Payments'!I$26</f>
        <v>11188.826123534962</v>
      </c>
      <c r="L63" s="19">
        <f>$B63*'Teva Payments'!J$26</f>
        <v>11188.826123534962</v>
      </c>
      <c r="M63" s="19">
        <f>$B63*'Teva Payments'!K$26</f>
        <v>11188.826123534962</v>
      </c>
      <c r="N63" s="19">
        <f>$B63*'Teva Payments'!L$26</f>
        <v>11188.826123534962</v>
      </c>
      <c r="O63" s="19">
        <f>$B63*'Teva Payments'!M$26</f>
        <v>11188.826123534962</v>
      </c>
      <c r="P63" s="19">
        <f>$B63*'Teva Payments'!N$26</f>
        <v>11188.826123534962</v>
      </c>
      <c r="Q63" s="19">
        <f>$B63*'Teva Payments'!O$26</f>
        <v>11188.926614952275</v>
      </c>
      <c r="R63" s="39" t="s">
        <v>346</v>
      </c>
      <c r="S63" s="7">
        <f t="shared" si="0"/>
        <v>143358.47693841948</v>
      </c>
    </row>
    <row r="64" spans="1:19" x14ac:dyDescent="0.35">
      <c r="A64" s="3" t="s">
        <v>22</v>
      </c>
      <c r="B64" s="16">
        <v>1.053620174976995E-3</v>
      </c>
      <c r="C64" s="8" t="s">
        <v>89</v>
      </c>
      <c r="D64" s="33" t="str">
        <f t="shared" si="7"/>
        <v>No</v>
      </c>
      <c r="E64" s="19">
        <f>$B64*'Teva Payments'!C$26</f>
        <v>3523.8981357081038</v>
      </c>
      <c r="F64" s="19">
        <v>3607.15</v>
      </c>
      <c r="G64" s="19">
        <f>$B64*'Teva Payments'!E$26</f>
        <v>3934.0714683523029</v>
      </c>
      <c r="H64" s="19">
        <f>$B64*'Teva Payments'!F$26</f>
        <v>3934.0714683523033</v>
      </c>
      <c r="I64" s="19">
        <f>$B64*'Teva Payments'!G$26</f>
        <v>3934.0714683523033</v>
      </c>
      <c r="J64" s="19">
        <f>$B64*'Teva Payments'!H$26</f>
        <v>3934.0714683523033</v>
      </c>
      <c r="K64" s="19">
        <f>$B64*'Teva Payments'!I$26</f>
        <v>3934.0714681786744</v>
      </c>
      <c r="L64" s="19">
        <f>$B64*'Teva Payments'!J$26</f>
        <v>3934.0714681786744</v>
      </c>
      <c r="M64" s="19">
        <f>$B64*'Teva Payments'!K$26</f>
        <v>3934.0714681786744</v>
      </c>
      <c r="N64" s="19">
        <f>$B64*'Teva Payments'!L$26</f>
        <v>3934.0714681786744</v>
      </c>
      <c r="O64" s="19">
        <f>$B64*'Teva Payments'!M$26</f>
        <v>3934.0714681786744</v>
      </c>
      <c r="P64" s="19">
        <f>$B64*'Teva Payments'!N$26</f>
        <v>3934.0714681786744</v>
      </c>
      <c r="Q64" s="19">
        <f>$B64*'Teva Payments'!O$26</f>
        <v>3934.1068016813392</v>
      </c>
      <c r="R64" s="39" t="s">
        <v>346</v>
      </c>
      <c r="S64" s="7">
        <f t="shared" si="0"/>
        <v>50405.869619870711</v>
      </c>
    </row>
    <row r="65" spans="1:19" x14ac:dyDescent="0.35">
      <c r="A65" s="3" t="s">
        <v>90</v>
      </c>
      <c r="B65" s="16">
        <v>1.9675310549654214E-4</v>
      </c>
      <c r="C65" s="8" t="s">
        <v>91</v>
      </c>
      <c r="D65" s="33" t="str">
        <f t="shared" si="7"/>
        <v>No</v>
      </c>
      <c r="E65" s="19">
        <f>$B65*'Teva Payments'!C$26</f>
        <v>658.05298543109541</v>
      </c>
      <c r="F65" s="19">
        <v>673.6</v>
      </c>
      <c r="G65" s="19">
        <f>$B65*'Teva Payments'!E$26</f>
        <v>734.64878238550966</v>
      </c>
      <c r="H65" s="19">
        <f>$B65*'Teva Payments'!F$26</f>
        <v>734.64878238550978</v>
      </c>
      <c r="I65" s="19">
        <f>$B65*'Teva Payments'!G$26</f>
        <v>734.64878238550978</v>
      </c>
      <c r="J65" s="19">
        <f>$B65*'Teva Payments'!H$26</f>
        <v>734.64878238550978</v>
      </c>
      <c r="K65" s="19">
        <f>$B65*'Teva Payments'!I$26</f>
        <v>734.64878235308629</v>
      </c>
      <c r="L65" s="19">
        <f>$B65*'Teva Payments'!J$26</f>
        <v>734.64878235308629</v>
      </c>
      <c r="M65" s="19">
        <f>$B65*'Teva Payments'!K$26</f>
        <v>734.64878235308629</v>
      </c>
      <c r="N65" s="19">
        <f>$B65*'Teva Payments'!L$26</f>
        <v>734.64878235308629</v>
      </c>
      <c r="O65" s="19">
        <f>$B65*'Teva Payments'!M$26</f>
        <v>734.64878235308629</v>
      </c>
      <c r="P65" s="19">
        <f>$B65*'Teva Payments'!N$26</f>
        <v>734.64878235308629</v>
      </c>
      <c r="Q65" s="19">
        <f>$B65*'Teva Payments'!O$26</f>
        <v>734.65538053385626</v>
      </c>
      <c r="R65" s="39" t="s">
        <v>346</v>
      </c>
      <c r="S65" s="7">
        <f t="shared" si="0"/>
        <v>9412.7961896255074</v>
      </c>
    </row>
    <row r="66" spans="1:19" x14ac:dyDescent="0.35">
      <c r="A66" s="3" t="s">
        <v>92</v>
      </c>
      <c r="B66" s="16">
        <v>4.0553892204887014E-4</v>
      </c>
      <c r="C66" s="8" t="s">
        <v>93</v>
      </c>
      <c r="D66" s="33" t="str">
        <f t="shared" si="7"/>
        <v>No</v>
      </c>
      <c r="E66" s="19">
        <f>$B66*'Teva Payments'!C$26</f>
        <v>1356.3501205700529</v>
      </c>
      <c r="F66" s="19">
        <v>1388.39</v>
      </c>
      <c r="G66" s="19">
        <f>$B66*'Teva Payments'!E$26</f>
        <v>1514.2260374557115</v>
      </c>
      <c r="H66" s="19">
        <f>$B66*'Teva Payments'!F$26</f>
        <v>1514.2260374557118</v>
      </c>
      <c r="I66" s="19">
        <f>$B66*'Teva Payments'!G$26</f>
        <v>1514.2260374557118</v>
      </c>
      <c r="J66" s="19">
        <f>$B66*'Teva Payments'!H$26</f>
        <v>1514.2260374557118</v>
      </c>
      <c r="K66" s="19">
        <f>$B66*'Teva Payments'!I$26</f>
        <v>1514.2260373888819</v>
      </c>
      <c r="L66" s="19">
        <f>$B66*'Teva Payments'!J$26</f>
        <v>1514.2260373888819</v>
      </c>
      <c r="M66" s="19">
        <f>$B66*'Teva Payments'!K$26</f>
        <v>1514.2260373888819</v>
      </c>
      <c r="N66" s="19">
        <f>$B66*'Teva Payments'!L$26</f>
        <v>1514.2260373888819</v>
      </c>
      <c r="O66" s="19">
        <f>$B66*'Teva Payments'!M$26</f>
        <v>1514.2260373888819</v>
      </c>
      <c r="P66" s="19">
        <f>$B66*'Teva Payments'!N$26</f>
        <v>1514.2260373888819</v>
      </c>
      <c r="Q66" s="19">
        <f>$B66*'Teva Payments'!O$26</f>
        <v>1514.2396372713852</v>
      </c>
      <c r="R66" s="39" t="s">
        <v>346</v>
      </c>
      <c r="S66" s="7">
        <f t="shared" si="0"/>
        <v>19401.240131997576</v>
      </c>
    </row>
    <row r="67" spans="1:19" x14ac:dyDescent="0.35">
      <c r="A67" s="3" t="s">
        <v>94</v>
      </c>
      <c r="B67" s="16">
        <v>2.6044851582400002E-3</v>
      </c>
      <c r="C67" s="8" t="s">
        <v>94</v>
      </c>
      <c r="D67" s="33" t="str">
        <f t="shared" si="7"/>
        <v>No</v>
      </c>
      <c r="E67" s="19">
        <f>$B67*'Teva Payments'!C$26</f>
        <v>8710.8624261126697</v>
      </c>
      <c r="F67" s="19">
        <v>8916.65</v>
      </c>
      <c r="G67" s="19">
        <f>$B67*'Teva Payments'!E$26</f>
        <v>9724.7860226316716</v>
      </c>
      <c r="H67" s="19">
        <f>$B67*'Teva Payments'!F$26</f>
        <v>9724.7860226316734</v>
      </c>
      <c r="I67" s="19">
        <f>$B67*'Teva Payments'!G$26</f>
        <v>9724.7860226316734</v>
      </c>
      <c r="J67" s="19">
        <f>$B67*'Teva Payments'!H$26</f>
        <v>9724.7860226316734</v>
      </c>
      <c r="K67" s="19">
        <f>$B67*'Teva Payments'!I$26</f>
        <v>9724.7860222024719</v>
      </c>
      <c r="L67" s="19">
        <f>$B67*'Teva Payments'!J$26</f>
        <v>9724.7860222024719</v>
      </c>
      <c r="M67" s="19">
        <f>$B67*'Teva Payments'!K$26</f>
        <v>9724.7860222024719</v>
      </c>
      <c r="N67" s="19">
        <f>$B67*'Teva Payments'!L$26</f>
        <v>9724.7860222024719</v>
      </c>
      <c r="O67" s="19">
        <f>$B67*'Teva Payments'!M$26</f>
        <v>9724.7860222024719</v>
      </c>
      <c r="P67" s="19">
        <f>$B67*'Teva Payments'!N$26</f>
        <v>9724.7860222024719</v>
      </c>
      <c r="Q67" s="19">
        <f>$B67*'Teva Payments'!O$26</f>
        <v>9724.873364477673</v>
      </c>
      <c r="R67" s="39" t="s">
        <v>346</v>
      </c>
      <c r="S67" s="7">
        <f t="shared" si="0"/>
        <v>124600.24601433187</v>
      </c>
    </row>
    <row r="68" spans="1:19" x14ac:dyDescent="0.35">
      <c r="A68" s="3" t="s">
        <v>22</v>
      </c>
      <c r="B68" s="16">
        <v>7.1316532282240011E-2</v>
      </c>
      <c r="C68" s="8" t="s">
        <v>95</v>
      </c>
      <c r="D68" s="33" t="str">
        <f t="shared" si="7"/>
        <v>No</v>
      </c>
      <c r="E68" s="19">
        <f>$B68*'Teva Payments'!C$26</f>
        <v>238522.57305156442</v>
      </c>
      <c r="F68" s="19">
        <v>244157.56</v>
      </c>
      <c r="G68" s="19">
        <f>$B68*'Teva Payments'!E$26</f>
        <v>266286.03128211002</v>
      </c>
      <c r="H68" s="19">
        <f>$B68*'Teva Payments'!F$26</f>
        <v>266286.03128211008</v>
      </c>
      <c r="I68" s="19">
        <f>$B68*'Teva Payments'!G$26</f>
        <v>266286.03128211008</v>
      </c>
      <c r="J68" s="19">
        <f>$B68*'Teva Payments'!H$26</f>
        <v>266286.03128211008</v>
      </c>
      <c r="K68" s="19">
        <f>$B68*'Teva Payments'!I$26</f>
        <v>266286.03127035761</v>
      </c>
      <c r="L68" s="19">
        <f>$B68*'Teva Payments'!J$26</f>
        <v>266286.03127035761</v>
      </c>
      <c r="M68" s="19">
        <f>$B68*'Teva Payments'!K$26</f>
        <v>266286.03127035761</v>
      </c>
      <c r="N68" s="19">
        <f>$B68*'Teva Payments'!L$26</f>
        <v>266286.03127035761</v>
      </c>
      <c r="O68" s="19">
        <f>$B68*'Teva Payments'!M$26</f>
        <v>266286.03127035761</v>
      </c>
      <c r="P68" s="19">
        <f>$B68*'Teva Payments'!N$26</f>
        <v>266286.03127035761</v>
      </c>
      <c r="Q68" s="19">
        <f>$B68*'Teva Payments'!O$26</f>
        <v>266288.4228939648</v>
      </c>
      <c r="R68" s="39" t="s">
        <v>346</v>
      </c>
      <c r="S68" s="7">
        <f t="shared" ref="S68:S131" si="8">SUM(E68:R68)</f>
        <v>3411828.8686961154</v>
      </c>
    </row>
    <row r="69" spans="1:19" x14ac:dyDescent="0.35">
      <c r="A69" s="3" t="s">
        <v>22</v>
      </c>
      <c r="B69" s="16">
        <v>0</v>
      </c>
      <c r="C69" s="8" t="s">
        <v>96</v>
      </c>
      <c r="D69" s="33" t="str">
        <f t="shared" si="7"/>
        <v>Yes</v>
      </c>
      <c r="E69" s="19">
        <f>B69*'Teva Payments'!$Q$26</f>
        <v>0</v>
      </c>
      <c r="F69" s="19">
        <v>0</v>
      </c>
      <c r="G69" s="52">
        <f>$B69*'Teva Payments'!E$26</f>
        <v>0</v>
      </c>
      <c r="H69" s="52">
        <f>$B69*'Teva Payments'!F$26</f>
        <v>0</v>
      </c>
      <c r="I69" s="52">
        <f>$B69*'Teva Payments'!G$26</f>
        <v>0</v>
      </c>
      <c r="J69" s="52">
        <f>$B69*'Teva Payments'!H$26</f>
        <v>0</v>
      </c>
      <c r="K69" s="52">
        <f>$B69*'Teva Payments'!I$26</f>
        <v>0</v>
      </c>
      <c r="L69" s="52">
        <f>$B69*'Teva Payments'!J$26</f>
        <v>0</v>
      </c>
      <c r="M69" s="52">
        <f>$B69*'Teva Payments'!K$26</f>
        <v>0</v>
      </c>
      <c r="N69" s="52">
        <f>$B69*'Teva Payments'!L$26</f>
        <v>0</v>
      </c>
      <c r="O69" s="52">
        <f>$B69*'Teva Payments'!M$26</f>
        <v>0</v>
      </c>
      <c r="P69" s="52">
        <f>$B69*'Teva Payments'!N$26</f>
        <v>0</v>
      </c>
      <c r="Q69" s="52">
        <f>$B69*'Teva Payments'!O$26</f>
        <v>0</v>
      </c>
      <c r="R69" s="39" t="s">
        <v>346</v>
      </c>
      <c r="S69" s="7">
        <f>E69</f>
        <v>0</v>
      </c>
    </row>
    <row r="70" spans="1:19" x14ac:dyDescent="0.35">
      <c r="A70" s="3" t="s">
        <v>40</v>
      </c>
      <c r="B70" s="16">
        <v>3.6770177791889988E-4</v>
      </c>
      <c r="C70" s="8" t="s">
        <v>97</v>
      </c>
      <c r="D70" s="33" t="str">
        <f t="shared" si="7"/>
        <v>No</v>
      </c>
      <c r="E70" s="19">
        <f>$B70*'Teva Payments'!C$26</f>
        <v>1229.8014412387824</v>
      </c>
      <c r="F70" s="19">
        <v>1258.8499999999999</v>
      </c>
      <c r="G70" s="19">
        <f>$B70*'Teva Payments'!E$26</f>
        <v>1372.9473938791496</v>
      </c>
      <c r="H70" s="19">
        <f>$B70*'Teva Payments'!F$26</f>
        <v>1372.9473938791496</v>
      </c>
      <c r="I70" s="19">
        <f>$B70*'Teva Payments'!G$26</f>
        <v>1372.9473938791496</v>
      </c>
      <c r="J70" s="19">
        <f>$B70*'Teva Payments'!H$26</f>
        <v>1372.9473938791496</v>
      </c>
      <c r="K70" s="19">
        <f>$B70*'Teva Payments'!I$26</f>
        <v>1372.9473938185549</v>
      </c>
      <c r="L70" s="19">
        <f>$B70*'Teva Payments'!J$26</f>
        <v>1372.9473938185549</v>
      </c>
      <c r="M70" s="19">
        <f>$B70*'Teva Payments'!K$26</f>
        <v>1372.9473938185549</v>
      </c>
      <c r="N70" s="19">
        <f>$B70*'Teva Payments'!L$26</f>
        <v>1372.9473938185549</v>
      </c>
      <c r="O70" s="19">
        <f>$B70*'Teva Payments'!M$26</f>
        <v>1372.9473938185549</v>
      </c>
      <c r="P70" s="19">
        <f>$B70*'Teva Payments'!N$26</f>
        <v>1372.9473938185549</v>
      </c>
      <c r="Q70" s="19">
        <f>$B70*'Teva Payments'!O$26</f>
        <v>1372.9597248198575</v>
      </c>
      <c r="R70" s="39" t="s">
        <v>346</v>
      </c>
      <c r="S70" s="7">
        <f t="shared" si="8"/>
        <v>17591.085104486567</v>
      </c>
    </row>
    <row r="71" spans="1:19" x14ac:dyDescent="0.35">
      <c r="A71" s="3" t="s">
        <v>98</v>
      </c>
      <c r="B71" s="16">
        <v>2.7729291699199999E-3</v>
      </c>
      <c r="C71" s="8" t="s">
        <v>98</v>
      </c>
      <c r="D71" s="33" t="str">
        <f t="shared" si="7"/>
        <v>No</v>
      </c>
      <c r="E71" s="19">
        <f>$B71*'Teva Payments'!C$26</f>
        <v>9274.2338884551646</v>
      </c>
      <c r="F71" s="19">
        <v>9493.33</v>
      </c>
      <c r="G71" s="19">
        <f>$B71*'Teva Payments'!E$26</f>
        <v>10353.732578613819</v>
      </c>
      <c r="H71" s="19">
        <f>$B71*'Teva Payments'!F$26</f>
        <v>10353.732578613821</v>
      </c>
      <c r="I71" s="19">
        <f>$B71*'Teva Payments'!G$26</f>
        <v>10353.732578613821</v>
      </c>
      <c r="J71" s="19">
        <f>$B71*'Teva Payments'!H$26</f>
        <v>10353.732578613821</v>
      </c>
      <c r="K71" s="19">
        <f>$B71*'Teva Payments'!I$26</f>
        <v>10353.732578156862</v>
      </c>
      <c r="L71" s="19">
        <f>$B71*'Teva Payments'!J$26</f>
        <v>10353.732578156862</v>
      </c>
      <c r="M71" s="19">
        <f>$B71*'Teva Payments'!K$26</f>
        <v>10353.732578156862</v>
      </c>
      <c r="N71" s="19">
        <f>$B71*'Teva Payments'!L$26</f>
        <v>10353.732578156862</v>
      </c>
      <c r="O71" s="19">
        <f>$B71*'Teva Payments'!M$26</f>
        <v>10353.732578156862</v>
      </c>
      <c r="P71" s="19">
        <f>$B71*'Teva Payments'!N$26</f>
        <v>10353.732578156862</v>
      </c>
      <c r="Q71" s="19">
        <f>$B71*'Teva Payments'!O$26</f>
        <v>10353.825569257964</v>
      </c>
      <c r="R71" s="39" t="s">
        <v>346</v>
      </c>
      <c r="S71" s="7">
        <f t="shared" si="8"/>
        <v>132658.7152411096</v>
      </c>
    </row>
    <row r="72" spans="1:19" x14ac:dyDescent="0.35">
      <c r="A72" s="3" t="s">
        <v>99</v>
      </c>
      <c r="B72" s="16">
        <v>1.4646766740742973E-5</v>
      </c>
      <c r="C72" s="8" t="s">
        <v>100</v>
      </c>
      <c r="D72" s="33" t="str">
        <f t="shared" si="7"/>
        <v>Yes</v>
      </c>
      <c r="E72" s="19">
        <f>B72*'Teva Payments'!$Q$26</f>
        <v>705.25543722838324</v>
      </c>
      <c r="F72" s="19">
        <v>0</v>
      </c>
      <c r="G72" s="52">
        <f>$B72*'Teva Payments'!E$26</f>
        <v>54.688993725491727</v>
      </c>
      <c r="H72" s="52">
        <f>$B72*'Teva Payments'!F$26</f>
        <v>54.688993725491734</v>
      </c>
      <c r="I72" s="52">
        <f>$B72*'Teva Payments'!G$26</f>
        <v>54.688993725491734</v>
      </c>
      <c r="J72" s="52">
        <f>$B72*'Teva Payments'!H$26</f>
        <v>54.688993725491734</v>
      </c>
      <c r="K72" s="52">
        <f>$B72*'Teva Payments'!I$26</f>
        <v>54.688993723078056</v>
      </c>
      <c r="L72" s="52">
        <f>$B72*'Teva Payments'!J$26</f>
        <v>54.688993723078056</v>
      </c>
      <c r="M72" s="52">
        <f>$B72*'Teva Payments'!K$26</f>
        <v>54.688993723078056</v>
      </c>
      <c r="N72" s="52">
        <f>$B72*'Teva Payments'!L$26</f>
        <v>54.688993723078056</v>
      </c>
      <c r="O72" s="52">
        <f>$B72*'Teva Payments'!M$26</f>
        <v>54.688993723078056</v>
      </c>
      <c r="P72" s="52">
        <f>$B72*'Teva Payments'!N$26</f>
        <v>54.688993723078056</v>
      </c>
      <c r="Q72" s="52">
        <f>$B72*'Teva Payments'!O$26</f>
        <v>54.689484907267534</v>
      </c>
      <c r="R72" s="39" t="s">
        <v>346</v>
      </c>
      <c r="S72" s="7">
        <f>E72</f>
        <v>705.25543722838324</v>
      </c>
    </row>
    <row r="73" spans="1:19" x14ac:dyDescent="0.35">
      <c r="A73" s="3" t="s">
        <v>14</v>
      </c>
      <c r="B73" s="16">
        <v>2.0735405898422254E-4</v>
      </c>
      <c r="C73" s="8" t="s">
        <v>101</v>
      </c>
      <c r="D73" s="33" t="str">
        <f t="shared" si="7"/>
        <v>No</v>
      </c>
      <c r="E73" s="19">
        <f>$B73*'Teva Payments'!C$26</f>
        <v>693.5085329985867</v>
      </c>
      <c r="F73" s="19">
        <v>709.89</v>
      </c>
      <c r="G73" s="19">
        <f>$B73*'Teva Payments'!E$26</f>
        <v>774.23127106946447</v>
      </c>
      <c r="H73" s="19">
        <f>$B73*'Teva Payments'!F$26</f>
        <v>774.23127106946447</v>
      </c>
      <c r="I73" s="19">
        <f>$B73*'Teva Payments'!G$26</f>
        <v>774.23127106946447</v>
      </c>
      <c r="J73" s="19">
        <f>$B73*'Teva Payments'!H$26</f>
        <v>774.23127106946447</v>
      </c>
      <c r="K73" s="19">
        <f>$B73*'Teva Payments'!I$26</f>
        <v>774.23127103529407</v>
      </c>
      <c r="L73" s="19">
        <f>$B73*'Teva Payments'!J$26</f>
        <v>774.23127103529407</v>
      </c>
      <c r="M73" s="19">
        <f>$B73*'Teva Payments'!K$26</f>
        <v>774.23127103529407</v>
      </c>
      <c r="N73" s="19">
        <f>$B73*'Teva Payments'!L$26</f>
        <v>774.23127103529407</v>
      </c>
      <c r="O73" s="19">
        <f>$B73*'Teva Payments'!M$26</f>
        <v>774.23127103529407</v>
      </c>
      <c r="P73" s="19">
        <f>$B73*'Teva Payments'!N$26</f>
        <v>774.23127103529407</v>
      </c>
      <c r="Q73" s="19">
        <f>$B73*'Teva Payments'!O$26</f>
        <v>774.23822472256177</v>
      </c>
      <c r="R73" s="39" t="s">
        <v>346</v>
      </c>
      <c r="S73" s="7">
        <f t="shared" si="8"/>
        <v>9919.9494682107725</v>
      </c>
    </row>
    <row r="74" spans="1:19" x14ac:dyDescent="0.35">
      <c r="A74" s="3" t="s">
        <v>102</v>
      </c>
      <c r="B74" s="16">
        <v>1.9287731411200004E-3</v>
      </c>
      <c r="C74" s="8" t="s">
        <v>103</v>
      </c>
      <c r="D74" s="33" t="str">
        <f t="shared" si="7"/>
        <v>No</v>
      </c>
      <c r="E74" s="19">
        <f>$B74*'Teva Payments'!C$26</f>
        <v>6450.9016034597435</v>
      </c>
      <c r="F74" s="19">
        <v>6603.3</v>
      </c>
      <c r="G74" s="19">
        <f>$B74*'Teva Payments'!E$26</f>
        <v>7201.7711539835691</v>
      </c>
      <c r="H74" s="19">
        <f>$B74*'Teva Payments'!F$26</f>
        <v>7201.77115398357</v>
      </c>
      <c r="I74" s="19">
        <f>$B74*'Teva Payments'!G$26</f>
        <v>7201.77115398357</v>
      </c>
      <c r="J74" s="19">
        <f>$B74*'Teva Payments'!H$26</f>
        <v>7201.77115398357</v>
      </c>
      <c r="K74" s="19">
        <f>$B74*'Teva Payments'!I$26</f>
        <v>7201.7711536657216</v>
      </c>
      <c r="L74" s="19">
        <f>$B74*'Teva Payments'!J$26</f>
        <v>7201.7711536657216</v>
      </c>
      <c r="M74" s="19">
        <f>$B74*'Teva Payments'!K$26</f>
        <v>7201.7711536657216</v>
      </c>
      <c r="N74" s="19">
        <f>$B74*'Teva Payments'!L$26</f>
        <v>7201.7711536657216</v>
      </c>
      <c r="O74" s="19">
        <f>$B74*'Teva Payments'!M$26</f>
        <v>7201.7711536657216</v>
      </c>
      <c r="P74" s="19">
        <f>$B74*'Teva Payments'!N$26</f>
        <v>7201.7711536657216</v>
      </c>
      <c r="Q74" s="19">
        <f>$B74*'Teva Payments'!O$26</f>
        <v>7201.8358357139023</v>
      </c>
      <c r="R74" s="39" t="s">
        <v>346</v>
      </c>
      <c r="S74" s="7">
        <f t="shared" si="8"/>
        <v>92273.748977102252</v>
      </c>
    </row>
    <row r="75" spans="1:19" x14ac:dyDescent="0.35">
      <c r="A75" s="3" t="s">
        <v>75</v>
      </c>
      <c r="B75" s="16">
        <v>1.6772498197081106E-3</v>
      </c>
      <c r="C75" s="8" t="s">
        <v>104</v>
      </c>
      <c r="D75" s="33" t="str">
        <f t="shared" si="7"/>
        <v>No</v>
      </c>
      <c r="E75" s="19">
        <f>$B75*'Teva Payments'!C$26</f>
        <v>5609.6662280742821</v>
      </c>
      <c r="F75" s="19">
        <v>5742.19</v>
      </c>
      <c r="G75" s="19">
        <f>$B75*'Teva Payments'!E$26</f>
        <v>6262.6179886473728</v>
      </c>
      <c r="H75" s="19">
        <f>$B75*'Teva Payments'!F$26</f>
        <v>6262.6179886473737</v>
      </c>
      <c r="I75" s="19">
        <f>$B75*'Teva Payments'!G$26</f>
        <v>6262.6179886473737</v>
      </c>
      <c r="J75" s="19">
        <f>$B75*'Teva Payments'!H$26</f>
        <v>6262.6179886473737</v>
      </c>
      <c r="K75" s="19">
        <f>$B75*'Teva Payments'!I$26</f>
        <v>6262.6179883709747</v>
      </c>
      <c r="L75" s="19">
        <f>$B75*'Teva Payments'!J$26</f>
        <v>6262.6179883709747</v>
      </c>
      <c r="M75" s="19">
        <f>$B75*'Teva Payments'!K$26</f>
        <v>6262.6179883709747</v>
      </c>
      <c r="N75" s="19">
        <f>$B75*'Teva Payments'!L$26</f>
        <v>6262.6179883709747</v>
      </c>
      <c r="O75" s="19">
        <f>$B75*'Teva Payments'!M$26</f>
        <v>6262.6179883709747</v>
      </c>
      <c r="P75" s="19">
        <f>$B75*'Teva Payments'!N$26</f>
        <v>6262.6179883709747</v>
      </c>
      <c r="Q75" s="19">
        <f>$B75*'Teva Payments'!O$26</f>
        <v>6262.6742355009956</v>
      </c>
      <c r="R75" s="39" t="s">
        <v>346</v>
      </c>
      <c r="S75" s="7">
        <f t="shared" si="8"/>
        <v>80240.710348390625</v>
      </c>
    </row>
    <row r="76" spans="1:19" x14ac:dyDescent="0.35">
      <c r="A76" s="3" t="s">
        <v>92</v>
      </c>
      <c r="B76" s="16">
        <v>1.0040382409120001E-2</v>
      </c>
      <c r="C76" s="8" t="s">
        <v>92</v>
      </c>
      <c r="D76" s="33" t="str">
        <f t="shared" si="7"/>
        <v>No</v>
      </c>
      <c r="E76" s="19">
        <f>$B76*'Teva Payments'!C$26</f>
        <v>33580.682767456434</v>
      </c>
      <c r="F76" s="19">
        <v>34374.01</v>
      </c>
      <c r="G76" s="19">
        <f>$B76*'Teva Payments'!E$26</f>
        <v>37489.394095863623</v>
      </c>
      <c r="H76" s="19">
        <f>$B76*'Teva Payments'!F$26</f>
        <v>37489.394095863623</v>
      </c>
      <c r="I76" s="19">
        <f>$B76*'Teva Payments'!G$26</f>
        <v>37489.394095863623</v>
      </c>
      <c r="J76" s="19">
        <f>$B76*'Teva Payments'!H$26</f>
        <v>37489.394095863623</v>
      </c>
      <c r="K76" s="19">
        <f>$B76*'Teva Payments'!I$26</f>
        <v>37489.394094209041</v>
      </c>
      <c r="L76" s="19">
        <f>$B76*'Teva Payments'!J$26</f>
        <v>37489.394094209041</v>
      </c>
      <c r="M76" s="19">
        <f>$B76*'Teva Payments'!K$26</f>
        <v>37489.394094209041</v>
      </c>
      <c r="N76" s="19">
        <f>$B76*'Teva Payments'!L$26</f>
        <v>37489.394094209041</v>
      </c>
      <c r="O76" s="19">
        <f>$B76*'Teva Payments'!M$26</f>
        <v>37489.394094209041</v>
      </c>
      <c r="P76" s="19">
        <f>$B76*'Teva Payments'!N$26</f>
        <v>37489.394094209041</v>
      </c>
      <c r="Q76" s="19">
        <f>$B76*'Teva Payments'!O$26</f>
        <v>37489.73080176935</v>
      </c>
      <c r="R76" s="39" t="s">
        <v>346</v>
      </c>
      <c r="S76" s="7">
        <f t="shared" si="8"/>
        <v>480338.36451793468</v>
      </c>
    </row>
    <row r="77" spans="1:19" x14ac:dyDescent="0.35">
      <c r="A77" s="3" t="s">
        <v>105</v>
      </c>
      <c r="B77" s="16">
        <v>5.9203304839503929E-5</v>
      </c>
      <c r="C77" s="8" t="s">
        <v>106</v>
      </c>
      <c r="D77" s="33" t="str">
        <f t="shared" si="7"/>
        <v>Yes</v>
      </c>
      <c r="E77" s="19">
        <f>B77*'Teva Payments'!$Q$26</f>
        <v>2850.6941756506471</v>
      </c>
      <c r="F77" s="19">
        <v>0</v>
      </c>
      <c r="G77" s="52">
        <f>$B77*'Teva Payments'!E$26</f>
        <v>221.05692158594212</v>
      </c>
      <c r="H77" s="52">
        <f>$B77*'Teva Payments'!F$26</f>
        <v>221.05692158594215</v>
      </c>
      <c r="I77" s="52">
        <f>$B77*'Teva Payments'!G$26</f>
        <v>221.05692158594215</v>
      </c>
      <c r="J77" s="52">
        <f>$B77*'Teva Payments'!H$26</f>
        <v>221.05692158594215</v>
      </c>
      <c r="K77" s="52">
        <f>$B77*'Teva Payments'!I$26</f>
        <v>221.05692157618589</v>
      </c>
      <c r="L77" s="52">
        <f>$B77*'Teva Payments'!J$26</f>
        <v>221.05692157618589</v>
      </c>
      <c r="M77" s="52">
        <f>$B77*'Teva Payments'!K$26</f>
        <v>221.05692157618589</v>
      </c>
      <c r="N77" s="52">
        <f>$B77*'Teva Payments'!L$26</f>
        <v>221.05692157618589</v>
      </c>
      <c r="O77" s="52">
        <f>$B77*'Teva Payments'!M$26</f>
        <v>221.05692157618589</v>
      </c>
      <c r="P77" s="52">
        <f>$B77*'Teva Payments'!N$26</f>
        <v>221.05692157618589</v>
      </c>
      <c r="Q77" s="52">
        <f>$B77*'Teva Payments'!O$26</f>
        <v>221.05890697868574</v>
      </c>
      <c r="R77" s="39" t="s">
        <v>346</v>
      </c>
      <c r="S77" s="7">
        <f>E77</f>
        <v>2850.6941756506471</v>
      </c>
    </row>
    <row r="78" spans="1:19" x14ac:dyDescent="0.35">
      <c r="A78" s="3" t="s">
        <v>107</v>
      </c>
      <c r="B78" s="16">
        <v>1.8132565778312178E-3</v>
      </c>
      <c r="C78" s="8" t="s">
        <v>107</v>
      </c>
      <c r="D78" s="33" t="str">
        <f t="shared" si="7"/>
        <v>No</v>
      </c>
      <c r="E78" s="19">
        <f>$B78*'Teva Payments'!C$26</f>
        <v>6064.549280597631</v>
      </c>
      <c r="F78" s="19">
        <v>6207.82</v>
      </c>
      <c r="G78" s="19">
        <f>$B78*'Teva Payments'!E$26</f>
        <v>6770.4483428325439</v>
      </c>
      <c r="H78" s="19">
        <f>$B78*'Teva Payments'!F$26</f>
        <v>6770.4483428325448</v>
      </c>
      <c r="I78" s="19">
        <f>$B78*'Teva Payments'!G$26</f>
        <v>6770.4483428325448</v>
      </c>
      <c r="J78" s="19">
        <f>$B78*'Teva Payments'!H$26</f>
        <v>6770.4483428325448</v>
      </c>
      <c r="K78" s="19">
        <f>$B78*'Teva Payments'!I$26</f>
        <v>6770.448342533733</v>
      </c>
      <c r="L78" s="19">
        <f>$B78*'Teva Payments'!J$26</f>
        <v>6770.448342533733</v>
      </c>
      <c r="M78" s="19">
        <f>$B78*'Teva Payments'!K$26</f>
        <v>6770.448342533733</v>
      </c>
      <c r="N78" s="19">
        <f>$B78*'Teva Payments'!L$26</f>
        <v>6770.448342533733</v>
      </c>
      <c r="O78" s="19">
        <f>$B78*'Teva Payments'!M$26</f>
        <v>6770.448342533733</v>
      </c>
      <c r="P78" s="19">
        <f>$B78*'Teva Payments'!N$26</f>
        <v>6770.448342533733</v>
      </c>
      <c r="Q78" s="19">
        <f>$B78*'Teva Payments'!O$26</f>
        <v>6770.5091506955796</v>
      </c>
      <c r="R78" s="39" t="s">
        <v>346</v>
      </c>
      <c r="S78" s="7">
        <f t="shared" si="8"/>
        <v>86747.361857825788</v>
      </c>
    </row>
    <row r="79" spans="1:19" x14ac:dyDescent="0.35">
      <c r="A79" s="3" t="s">
        <v>42</v>
      </c>
      <c r="B79" s="16">
        <v>8.1390405570217945E-5</v>
      </c>
      <c r="C79" s="8" t="s">
        <v>108</v>
      </c>
      <c r="D79" s="33" t="str">
        <f t="shared" si="7"/>
        <v>Yes</v>
      </c>
      <c r="E79" s="19">
        <f>B79*'Teva Payments'!$Q$26</f>
        <v>3919.0237055490766</v>
      </c>
      <c r="F79" s="19">
        <v>0</v>
      </c>
      <c r="G79" s="52">
        <f>$B79*'Teva Payments'!E$26</f>
        <v>303.90047567037902</v>
      </c>
      <c r="H79" s="52">
        <f>$B79*'Teva Payments'!F$26</f>
        <v>303.90047567037902</v>
      </c>
      <c r="I79" s="52">
        <f>$B79*'Teva Payments'!G$26</f>
        <v>303.90047567037902</v>
      </c>
      <c r="J79" s="52">
        <f>$B79*'Teva Payments'!H$26</f>
        <v>303.90047567037902</v>
      </c>
      <c r="K79" s="52">
        <f>$B79*'Teva Payments'!I$26</f>
        <v>303.90047565696648</v>
      </c>
      <c r="L79" s="52">
        <f>$B79*'Teva Payments'!J$26</f>
        <v>303.90047565696648</v>
      </c>
      <c r="M79" s="52">
        <f>$B79*'Teva Payments'!K$26</f>
        <v>303.90047565696648</v>
      </c>
      <c r="N79" s="52">
        <f>$B79*'Teva Payments'!L$26</f>
        <v>303.90047565696648</v>
      </c>
      <c r="O79" s="52">
        <f>$B79*'Teva Payments'!M$26</f>
        <v>303.90047565696648</v>
      </c>
      <c r="P79" s="52">
        <f>$B79*'Teva Payments'!N$26</f>
        <v>303.90047565696648</v>
      </c>
      <c r="Q79" s="52">
        <f>$B79*'Teva Payments'!O$26</f>
        <v>303.90320511126168</v>
      </c>
      <c r="R79" s="39" t="s">
        <v>346</v>
      </c>
      <c r="S79" s="7">
        <f>E79</f>
        <v>3919.0237055490766</v>
      </c>
    </row>
    <row r="80" spans="1:19" x14ac:dyDescent="0.35">
      <c r="A80" s="3" t="s">
        <v>94</v>
      </c>
      <c r="B80" s="16">
        <v>1.8102084784E-4</v>
      </c>
      <c r="C80" s="8" t="s">
        <v>109</v>
      </c>
      <c r="D80" s="33" t="str">
        <f t="shared" si="7"/>
        <v>No</v>
      </c>
      <c r="E80" s="19">
        <f>$B80*'Teva Payments'!C$26</f>
        <v>605.43547226741782</v>
      </c>
      <c r="F80" s="19">
        <v>619.74</v>
      </c>
      <c r="G80" s="19">
        <f>$B80*'Teva Payments'!E$26</f>
        <v>675.9067162697761</v>
      </c>
      <c r="H80" s="19">
        <f>$B80*'Teva Payments'!F$26</f>
        <v>675.9067162697761</v>
      </c>
      <c r="I80" s="19">
        <f>$B80*'Teva Payments'!G$26</f>
        <v>675.9067162697761</v>
      </c>
      <c r="J80" s="19">
        <f>$B80*'Teva Payments'!H$26</f>
        <v>675.9067162697761</v>
      </c>
      <c r="K80" s="19">
        <f>$B80*'Teva Payments'!I$26</f>
        <v>675.90671623994524</v>
      </c>
      <c r="L80" s="19">
        <f>$B80*'Teva Payments'!J$26</f>
        <v>675.90671623994524</v>
      </c>
      <c r="M80" s="19">
        <f>$B80*'Teva Payments'!K$26</f>
        <v>675.90671623994524</v>
      </c>
      <c r="N80" s="19">
        <f>$B80*'Teva Payments'!L$26</f>
        <v>675.90671623994524</v>
      </c>
      <c r="O80" s="19">
        <f>$B80*'Teva Payments'!M$26</f>
        <v>675.90671623994524</v>
      </c>
      <c r="P80" s="19">
        <f>$B80*'Teva Payments'!N$26</f>
        <v>675.90671623994524</v>
      </c>
      <c r="Q80" s="19">
        <f>$B80*'Teva Payments'!O$26</f>
        <v>675.91278683422718</v>
      </c>
      <c r="R80" s="39" t="s">
        <v>346</v>
      </c>
      <c r="S80" s="7">
        <f t="shared" si="8"/>
        <v>8660.1554216204204</v>
      </c>
    </row>
    <row r="81" spans="1:19" x14ac:dyDescent="0.35">
      <c r="A81" s="3" t="s">
        <v>34</v>
      </c>
      <c r="B81" s="16">
        <v>2.2024727769051096E-4</v>
      </c>
      <c r="C81" s="8" t="s">
        <v>110</v>
      </c>
      <c r="D81" s="33" t="str">
        <f t="shared" si="7"/>
        <v>No</v>
      </c>
      <c r="E81" s="19">
        <f>$B81*'Teva Payments'!C$26</f>
        <v>736.63070400614038</v>
      </c>
      <c r="F81" s="19">
        <v>754.03</v>
      </c>
      <c r="G81" s="19">
        <f>$B81*'Teva Payments'!E$26</f>
        <v>822.37275986426937</v>
      </c>
      <c r="H81" s="19">
        <f>$B81*'Teva Payments'!F$26</f>
        <v>822.37275986426948</v>
      </c>
      <c r="I81" s="19">
        <f>$B81*'Teva Payments'!G$26</f>
        <v>822.37275986426948</v>
      </c>
      <c r="J81" s="19">
        <f>$B81*'Teva Payments'!H$26</f>
        <v>822.37275986426948</v>
      </c>
      <c r="K81" s="19">
        <f>$B81*'Teva Payments'!I$26</f>
        <v>822.37275982797428</v>
      </c>
      <c r="L81" s="19">
        <f>$B81*'Teva Payments'!J$26</f>
        <v>822.37275982797428</v>
      </c>
      <c r="M81" s="19">
        <f>$B81*'Teva Payments'!K$26</f>
        <v>822.37275982797428</v>
      </c>
      <c r="N81" s="19">
        <f>$B81*'Teva Payments'!L$26</f>
        <v>822.37275982797428</v>
      </c>
      <c r="O81" s="19">
        <f>$B81*'Teva Payments'!M$26</f>
        <v>822.37275982797428</v>
      </c>
      <c r="P81" s="19">
        <f>$B81*'Teva Payments'!N$26</f>
        <v>822.37275982797428</v>
      </c>
      <c r="Q81" s="19">
        <f>$B81*'Teva Payments'!O$26</f>
        <v>822.38014589361546</v>
      </c>
      <c r="R81" s="39" t="s">
        <v>346</v>
      </c>
      <c r="S81" s="7">
        <f t="shared" si="8"/>
        <v>10536.768448324683</v>
      </c>
    </row>
    <row r="82" spans="1:19" x14ac:dyDescent="0.35">
      <c r="A82" s="3" t="s">
        <v>34</v>
      </c>
      <c r="B82" s="16">
        <v>1.6511895197089239E-3</v>
      </c>
      <c r="C82" s="8" t="s">
        <v>111</v>
      </c>
      <c r="D82" s="33" t="str">
        <f t="shared" si="7"/>
        <v>No</v>
      </c>
      <c r="E82" s="19">
        <f>$B82*'Teva Payments'!C$26</f>
        <v>5522.5059356234151</v>
      </c>
      <c r="F82" s="19">
        <v>5652.97</v>
      </c>
      <c r="G82" s="19">
        <f>$B82*'Teva Payments'!E$26</f>
        <v>6165.312446177345</v>
      </c>
      <c r="H82" s="19">
        <f>$B82*'Teva Payments'!F$26</f>
        <v>6165.3124461773459</v>
      </c>
      <c r="I82" s="19">
        <f>$B82*'Teva Payments'!G$26</f>
        <v>6165.3124461773459</v>
      </c>
      <c r="J82" s="19">
        <f>$B82*'Teva Payments'!H$26</f>
        <v>6165.3124461773459</v>
      </c>
      <c r="K82" s="19">
        <f>$B82*'Teva Payments'!I$26</f>
        <v>6165.3124459052415</v>
      </c>
      <c r="L82" s="19">
        <f>$B82*'Teva Payments'!J$26</f>
        <v>6165.3124459052415</v>
      </c>
      <c r="M82" s="19">
        <f>$B82*'Teva Payments'!K$26</f>
        <v>6165.3124459052415</v>
      </c>
      <c r="N82" s="19">
        <f>$B82*'Teva Payments'!L$26</f>
        <v>6165.3124459052415</v>
      </c>
      <c r="O82" s="19">
        <f>$B82*'Teva Payments'!M$26</f>
        <v>6165.3124459052415</v>
      </c>
      <c r="P82" s="19">
        <f>$B82*'Teva Payments'!N$26</f>
        <v>6165.3124459052415</v>
      </c>
      <c r="Q82" s="19">
        <f>$B82*'Teva Payments'!O$26</f>
        <v>6165.3678190944429</v>
      </c>
      <c r="R82" s="39" t="s">
        <v>346</v>
      </c>
      <c r="S82" s="7">
        <f t="shared" si="8"/>
        <v>78993.968214858702</v>
      </c>
    </row>
    <row r="83" spans="1:19" x14ac:dyDescent="0.35">
      <c r="A83" s="3" t="s">
        <v>63</v>
      </c>
      <c r="B83" s="16">
        <v>1.8526953699043198E-5</v>
      </c>
      <c r="C83" s="8" t="s">
        <v>112</v>
      </c>
      <c r="D83" s="33" t="str">
        <f t="shared" si="7"/>
        <v>Yes</v>
      </c>
      <c r="E83" s="19">
        <f>B83*'Teva Payments'!$Q$26</f>
        <v>892.09004709430667</v>
      </c>
      <c r="F83" s="19">
        <v>0</v>
      </c>
      <c r="G83" s="52">
        <f>$B83*'Teva Payments'!E$26</f>
        <v>69.177073174857739</v>
      </c>
      <c r="H83" s="52">
        <f>$B83*'Teva Payments'!F$26</f>
        <v>69.177073174857753</v>
      </c>
      <c r="I83" s="52">
        <f>$B83*'Teva Payments'!G$26</f>
        <v>69.177073174857753</v>
      </c>
      <c r="J83" s="52">
        <f>$B83*'Teva Payments'!H$26</f>
        <v>69.177073174857753</v>
      </c>
      <c r="K83" s="52">
        <f>$B83*'Teva Payments'!I$26</f>
        <v>69.177073171804636</v>
      </c>
      <c r="L83" s="52">
        <f>$B83*'Teva Payments'!J$26</f>
        <v>69.177073171804636</v>
      </c>
      <c r="M83" s="52">
        <f>$B83*'Teva Payments'!K$26</f>
        <v>69.177073171804636</v>
      </c>
      <c r="N83" s="52">
        <f>$B83*'Teva Payments'!L$26</f>
        <v>69.177073171804636</v>
      </c>
      <c r="O83" s="52">
        <f>$B83*'Teva Payments'!M$26</f>
        <v>69.177073171804636</v>
      </c>
      <c r="P83" s="52">
        <f>$B83*'Teva Payments'!N$26</f>
        <v>69.177073171804636</v>
      </c>
      <c r="Q83" s="52">
        <f>$B83*'Teva Payments'!O$26</f>
        <v>69.177694479353079</v>
      </c>
      <c r="R83" s="39" t="s">
        <v>346</v>
      </c>
      <c r="S83" s="7">
        <f>E83</f>
        <v>892.09004709430667</v>
      </c>
    </row>
    <row r="84" spans="1:19" x14ac:dyDescent="0.35">
      <c r="A84" s="3" t="s">
        <v>113</v>
      </c>
      <c r="B84" s="16">
        <v>4.7960718893470176E-4</v>
      </c>
      <c r="C84" s="8" t="s">
        <v>114</v>
      </c>
      <c r="D84" s="33" t="str">
        <f t="shared" si="7"/>
        <v>No</v>
      </c>
      <c r="E84" s="19">
        <f>$B84*'Teva Payments'!C$26</f>
        <v>1604.0760409661875</v>
      </c>
      <c r="F84" s="19">
        <v>1641.97</v>
      </c>
      <c r="G84" s="19">
        <f>$B84*'Teva Payments'!E$26</f>
        <v>1790.7866637480242</v>
      </c>
      <c r="H84" s="19">
        <f>$B84*'Teva Payments'!F$26</f>
        <v>1790.7866637480245</v>
      </c>
      <c r="I84" s="19">
        <f>$B84*'Teva Payments'!G$26</f>
        <v>1790.7866637480245</v>
      </c>
      <c r="J84" s="19">
        <f>$B84*'Teva Payments'!H$26</f>
        <v>1790.7866637480245</v>
      </c>
      <c r="K84" s="19">
        <f>$B84*'Teva Payments'!I$26</f>
        <v>1790.7866636689887</v>
      </c>
      <c r="L84" s="19">
        <f>$B84*'Teva Payments'!J$26</f>
        <v>1790.7866636689887</v>
      </c>
      <c r="M84" s="19">
        <f>$B84*'Teva Payments'!K$26</f>
        <v>1790.7866636689887</v>
      </c>
      <c r="N84" s="19">
        <f>$B84*'Teva Payments'!L$26</f>
        <v>1790.7866636689887</v>
      </c>
      <c r="O84" s="19">
        <f>$B84*'Teva Payments'!M$26</f>
        <v>1790.7866636689887</v>
      </c>
      <c r="P84" s="19">
        <f>$B84*'Teva Payments'!N$26</f>
        <v>1790.7866636689887</v>
      </c>
      <c r="Q84" s="19">
        <f>$B84*'Teva Payments'!O$26</f>
        <v>1790.8027474554335</v>
      </c>
      <c r="R84" s="39" t="s">
        <v>346</v>
      </c>
      <c r="S84" s="7">
        <f t="shared" si="8"/>
        <v>22944.715425427647</v>
      </c>
    </row>
    <row r="85" spans="1:19" x14ac:dyDescent="0.35">
      <c r="A85" s="3" t="s">
        <v>34</v>
      </c>
      <c r="B85" s="16">
        <v>8.911313493618362E-4</v>
      </c>
      <c r="C85" s="8" t="s">
        <v>115</v>
      </c>
      <c r="D85" s="33" t="str">
        <f t="shared" si="7"/>
        <v>No</v>
      </c>
      <c r="E85" s="19">
        <f>$B85*'Teva Payments'!C$26</f>
        <v>2980.4441631499576</v>
      </c>
      <c r="F85" s="19">
        <v>3050.86</v>
      </c>
      <c r="G85" s="19">
        <f>$B85*'Teva Payments'!E$26</f>
        <v>3327.3607504290944</v>
      </c>
      <c r="H85" s="19">
        <f>$B85*'Teva Payments'!F$26</f>
        <v>3327.3607504290949</v>
      </c>
      <c r="I85" s="19">
        <f>$B85*'Teva Payments'!G$26</f>
        <v>3327.3607504290949</v>
      </c>
      <c r="J85" s="19">
        <f>$B85*'Teva Payments'!H$26</f>
        <v>3327.3607504290949</v>
      </c>
      <c r="K85" s="19">
        <f>$B85*'Teva Payments'!I$26</f>
        <v>3327.3607502822429</v>
      </c>
      <c r="L85" s="19">
        <f>$B85*'Teva Payments'!J$26</f>
        <v>3327.3607502822429</v>
      </c>
      <c r="M85" s="19">
        <f>$B85*'Teva Payments'!K$26</f>
        <v>3327.3607502822429</v>
      </c>
      <c r="N85" s="19">
        <f>$B85*'Teva Payments'!L$26</f>
        <v>3327.3607502822429</v>
      </c>
      <c r="O85" s="19">
        <f>$B85*'Teva Payments'!M$26</f>
        <v>3327.3607502822429</v>
      </c>
      <c r="P85" s="19">
        <f>$B85*'Teva Payments'!N$26</f>
        <v>3327.3607502822429</v>
      </c>
      <c r="Q85" s="19">
        <f>$B85*'Teva Payments'!O$26</f>
        <v>3327.3906346681488</v>
      </c>
      <c r="R85" s="39" t="s">
        <v>346</v>
      </c>
      <c r="S85" s="7">
        <f t="shared" si="8"/>
        <v>42632.302301227937</v>
      </c>
    </row>
    <row r="86" spans="1:19" x14ac:dyDescent="0.35">
      <c r="A86" s="3" t="s">
        <v>116</v>
      </c>
      <c r="B86" s="16">
        <v>1.717819666839331E-4</v>
      </c>
      <c r="C86" s="8" t="s">
        <v>117</v>
      </c>
      <c r="D86" s="33" t="str">
        <f t="shared" si="7"/>
        <v>No</v>
      </c>
      <c r="E86" s="19">
        <f>$B86*'Teva Payments'!C$26</f>
        <v>574.53546023736749</v>
      </c>
      <c r="F86" s="19">
        <v>588.11</v>
      </c>
      <c r="G86" s="19">
        <f>$B86*'Teva Payments'!E$26</f>
        <v>641.41001658729874</v>
      </c>
      <c r="H86" s="19">
        <f>$B86*'Teva Payments'!F$26</f>
        <v>641.41001658729886</v>
      </c>
      <c r="I86" s="19">
        <f>$B86*'Teva Payments'!G$26</f>
        <v>641.41001658729886</v>
      </c>
      <c r="J86" s="19">
        <f>$B86*'Teva Payments'!H$26</f>
        <v>641.41001658729886</v>
      </c>
      <c r="K86" s="19">
        <f>$B86*'Teva Payments'!I$26</f>
        <v>641.41001655899038</v>
      </c>
      <c r="L86" s="19">
        <f>$B86*'Teva Payments'!J$26</f>
        <v>641.41001655899038</v>
      </c>
      <c r="M86" s="19">
        <f>$B86*'Teva Payments'!K$26</f>
        <v>641.41001655899038</v>
      </c>
      <c r="N86" s="19">
        <f>$B86*'Teva Payments'!L$26</f>
        <v>641.41001655899038</v>
      </c>
      <c r="O86" s="19">
        <f>$B86*'Teva Payments'!M$26</f>
        <v>641.41001655899038</v>
      </c>
      <c r="P86" s="19">
        <f>$B86*'Teva Payments'!N$26</f>
        <v>641.41001655899038</v>
      </c>
      <c r="Q86" s="19">
        <f>$B86*'Teva Payments'!O$26</f>
        <v>641.4157773243229</v>
      </c>
      <c r="R86" s="39" t="s">
        <v>346</v>
      </c>
      <c r="S86" s="7">
        <f t="shared" si="8"/>
        <v>8218.1614032648286</v>
      </c>
    </row>
    <row r="87" spans="1:19" x14ac:dyDescent="0.35">
      <c r="A87" s="3" t="s">
        <v>63</v>
      </c>
      <c r="B87" s="16">
        <v>2.5575490326387143E-4</v>
      </c>
      <c r="C87" s="8" t="s">
        <v>118</v>
      </c>
      <c r="D87" s="33" t="str">
        <f t="shared" si="7"/>
        <v>No</v>
      </c>
      <c r="E87" s="19">
        <f>$B87*'Teva Payments'!C$26</f>
        <v>855.38816379388447</v>
      </c>
      <c r="F87" s="19">
        <v>875.6</v>
      </c>
      <c r="G87" s="19">
        <f>$B87*'Teva Payments'!E$26</f>
        <v>954.95330453744259</v>
      </c>
      <c r="H87" s="19">
        <f>$B87*'Teva Payments'!F$26</f>
        <v>954.9533045374427</v>
      </c>
      <c r="I87" s="19">
        <f>$B87*'Teva Payments'!G$26</f>
        <v>954.9533045374427</v>
      </c>
      <c r="J87" s="19">
        <f>$B87*'Teva Payments'!H$26</f>
        <v>954.9533045374427</v>
      </c>
      <c r="K87" s="19">
        <f>$B87*'Teva Payments'!I$26</f>
        <v>954.95330449529604</v>
      </c>
      <c r="L87" s="19">
        <f>$B87*'Teva Payments'!J$26</f>
        <v>954.95330449529604</v>
      </c>
      <c r="M87" s="19">
        <f>$B87*'Teva Payments'!K$26</f>
        <v>954.95330449529604</v>
      </c>
      <c r="N87" s="19">
        <f>$B87*'Teva Payments'!L$26</f>
        <v>954.95330449529604</v>
      </c>
      <c r="O87" s="19">
        <f>$B87*'Teva Payments'!M$26</f>
        <v>954.95330449529604</v>
      </c>
      <c r="P87" s="19">
        <f>$B87*'Teva Payments'!N$26</f>
        <v>954.95330449529604</v>
      </c>
      <c r="Q87" s="19">
        <f>$B87*'Teva Payments'!O$26</f>
        <v>954.96188132095938</v>
      </c>
      <c r="R87" s="39" t="s">
        <v>346</v>
      </c>
      <c r="S87" s="7">
        <f t="shared" si="8"/>
        <v>12235.483090236394</v>
      </c>
    </row>
    <row r="88" spans="1:19" x14ac:dyDescent="0.35">
      <c r="A88" s="3" t="s">
        <v>63</v>
      </c>
      <c r="B88" s="16">
        <v>2.9548125614560005E-2</v>
      </c>
      <c r="C88" s="8" t="s">
        <v>119</v>
      </c>
      <c r="D88" s="33" t="str">
        <f t="shared" si="7"/>
        <v>No</v>
      </c>
      <c r="E88" s="19">
        <f>$B88*'Teva Payments'!C$26</f>
        <v>98825.541917029404</v>
      </c>
      <c r="F88" s="19">
        <v>101160.25</v>
      </c>
      <c r="G88" s="19">
        <f>$B88*'Teva Payments'!E$26</f>
        <v>110328.59913304952</v>
      </c>
      <c r="H88" s="19">
        <f>$B88*'Teva Payments'!F$26</f>
        <v>110328.59913304953</v>
      </c>
      <c r="I88" s="19">
        <f>$B88*'Teva Payments'!G$26</f>
        <v>110328.59913304953</v>
      </c>
      <c r="J88" s="19">
        <f>$B88*'Teva Payments'!H$26</f>
        <v>110328.59913304953</v>
      </c>
      <c r="K88" s="19">
        <f>$B88*'Teva Payments'!I$26</f>
        <v>110328.5991281802</v>
      </c>
      <c r="L88" s="19">
        <f>$B88*'Teva Payments'!J$26</f>
        <v>110328.5991281802</v>
      </c>
      <c r="M88" s="19">
        <f>$B88*'Teva Payments'!K$26</f>
        <v>110328.5991281802</v>
      </c>
      <c r="N88" s="19">
        <f>$B88*'Teva Payments'!L$26</f>
        <v>110328.5991281802</v>
      </c>
      <c r="O88" s="19">
        <f>$B88*'Teva Payments'!M$26</f>
        <v>110328.5991281802</v>
      </c>
      <c r="P88" s="19">
        <f>$B88*'Teva Payments'!N$26</f>
        <v>110328.5991281802</v>
      </c>
      <c r="Q88" s="19">
        <f>$B88*'Teva Payments'!O$26</f>
        <v>110329.59003439095</v>
      </c>
      <c r="R88" s="39" t="s">
        <v>346</v>
      </c>
      <c r="S88" s="7">
        <f t="shared" si="8"/>
        <v>1413601.3732526996</v>
      </c>
    </row>
    <row r="89" spans="1:19" x14ac:dyDescent="0.35">
      <c r="A89" s="3" t="s">
        <v>63</v>
      </c>
      <c r="B89" s="16">
        <v>3.7431147041579692E-5</v>
      </c>
      <c r="C89" s="8" t="s">
        <v>120</v>
      </c>
      <c r="D89" s="33" t="str">
        <f t="shared" si="7"/>
        <v>Yes</v>
      </c>
      <c r="E89" s="19">
        <f>B89*'Teva Payments'!$Q$26</f>
        <v>1802.3445337827573</v>
      </c>
      <c r="F89" s="19">
        <v>0</v>
      </c>
      <c r="G89" s="52">
        <f>$B89*'Teva Payments'!E$26</f>
        <v>139.76270680958973</v>
      </c>
      <c r="H89" s="52">
        <f>$B89*'Teva Payments'!F$26</f>
        <v>139.76270680958973</v>
      </c>
      <c r="I89" s="52">
        <f>$B89*'Teva Payments'!G$26</f>
        <v>139.76270680958973</v>
      </c>
      <c r="J89" s="52">
        <f>$B89*'Teva Payments'!H$26</f>
        <v>139.76270680958973</v>
      </c>
      <c r="K89" s="52">
        <f>$B89*'Teva Payments'!I$26</f>
        <v>139.76270680342134</v>
      </c>
      <c r="L89" s="52">
        <f>$B89*'Teva Payments'!J$26</f>
        <v>139.76270680342134</v>
      </c>
      <c r="M89" s="52">
        <f>$B89*'Teva Payments'!K$26</f>
        <v>139.76270680342134</v>
      </c>
      <c r="N89" s="52">
        <f>$B89*'Teva Payments'!L$26</f>
        <v>139.76270680342134</v>
      </c>
      <c r="O89" s="52">
        <f>$B89*'Teva Payments'!M$26</f>
        <v>139.76270680342134</v>
      </c>
      <c r="P89" s="52">
        <f>$B89*'Teva Payments'!N$26</f>
        <v>139.76270680342134</v>
      </c>
      <c r="Q89" s="52">
        <f>$B89*'Teva Payments'!O$26</f>
        <v>139.76396206937503</v>
      </c>
      <c r="R89" s="39" t="s">
        <v>346</v>
      </c>
      <c r="S89" s="7">
        <f>E89</f>
        <v>1802.3445337827573</v>
      </c>
    </row>
    <row r="90" spans="1:19" x14ac:dyDescent="0.35">
      <c r="A90" s="3" t="s">
        <v>121</v>
      </c>
      <c r="B90" s="16">
        <v>9.4416380822506951E-5</v>
      </c>
      <c r="C90" s="8" t="s">
        <v>122</v>
      </c>
      <c r="D90" s="33" t="str">
        <f t="shared" si="7"/>
        <v>No</v>
      </c>
      <c r="E90" s="19">
        <f>$B90*'Teva Payments'!C$26</f>
        <v>315.78145166782059</v>
      </c>
      <c r="F90" s="19">
        <v>323.24</v>
      </c>
      <c r="G90" s="19">
        <f>$B90*'Teva Payments'!E$26</f>
        <v>352.53765897850263</v>
      </c>
      <c r="H90" s="19">
        <f>$B90*'Teva Payments'!F$26</f>
        <v>352.53765897850263</v>
      </c>
      <c r="I90" s="19">
        <f>$B90*'Teva Payments'!G$26</f>
        <v>352.53765897850263</v>
      </c>
      <c r="J90" s="19">
        <f>$B90*'Teva Payments'!H$26</f>
        <v>352.53765897850263</v>
      </c>
      <c r="K90" s="19">
        <f>$B90*'Teva Payments'!I$26</f>
        <v>352.53765896294351</v>
      </c>
      <c r="L90" s="19">
        <f>$B90*'Teva Payments'!J$26</f>
        <v>352.53765896294351</v>
      </c>
      <c r="M90" s="19">
        <f>$B90*'Teva Payments'!K$26</f>
        <v>352.53765896294351</v>
      </c>
      <c r="N90" s="19">
        <f>$B90*'Teva Payments'!L$26</f>
        <v>352.53765896294351</v>
      </c>
      <c r="O90" s="19">
        <f>$B90*'Teva Payments'!M$26</f>
        <v>352.53765896294351</v>
      </c>
      <c r="P90" s="19">
        <f>$B90*'Teva Payments'!N$26</f>
        <v>352.53765896294351</v>
      </c>
      <c r="Q90" s="19">
        <f>$B90*'Teva Payments'!O$26</f>
        <v>352.54082524764709</v>
      </c>
      <c r="R90" s="39" t="s">
        <v>346</v>
      </c>
      <c r="S90" s="7">
        <f t="shared" si="8"/>
        <v>4516.93886660714</v>
      </c>
    </row>
    <row r="91" spans="1:19" x14ac:dyDescent="0.35">
      <c r="A91" s="3" t="s">
        <v>75</v>
      </c>
      <c r="B91" s="16">
        <v>8.0090683849233263E-4</v>
      </c>
      <c r="C91" s="8" t="s">
        <v>123</v>
      </c>
      <c r="D91" s="33" t="str">
        <f t="shared" si="7"/>
        <v>No</v>
      </c>
      <c r="E91" s="19">
        <f>$B91*'Teva Payments'!C$26</f>
        <v>2678.682680977161</v>
      </c>
      <c r="F91" s="19">
        <v>2741.97</v>
      </c>
      <c r="G91" s="19">
        <f>$B91*'Teva Payments'!E$26</f>
        <v>2990.4749519339143</v>
      </c>
      <c r="H91" s="19">
        <f>$B91*'Teva Payments'!F$26</f>
        <v>2990.4749519339148</v>
      </c>
      <c r="I91" s="19">
        <f>$B91*'Teva Payments'!G$26</f>
        <v>2990.4749519339148</v>
      </c>
      <c r="J91" s="19">
        <f>$B91*'Teva Payments'!H$26</f>
        <v>2990.4749519339148</v>
      </c>
      <c r="K91" s="19">
        <f>$B91*'Teva Payments'!I$26</f>
        <v>2990.4749518019312</v>
      </c>
      <c r="L91" s="19">
        <f>$B91*'Teva Payments'!J$26</f>
        <v>2990.4749518019312</v>
      </c>
      <c r="M91" s="19">
        <f>$B91*'Teva Payments'!K$26</f>
        <v>2990.4749518019312</v>
      </c>
      <c r="N91" s="19">
        <f>$B91*'Teva Payments'!L$26</f>
        <v>2990.4749518019312</v>
      </c>
      <c r="O91" s="19">
        <f>$B91*'Teva Payments'!M$26</f>
        <v>2990.4749518019312</v>
      </c>
      <c r="P91" s="19">
        <f>$B91*'Teva Payments'!N$26</f>
        <v>2990.4749518019312</v>
      </c>
      <c r="Q91" s="19">
        <f>$B91*'Teva Payments'!O$26</f>
        <v>2990.5018104788855</v>
      </c>
      <c r="R91" s="39" t="s">
        <v>346</v>
      </c>
      <c r="S91" s="7">
        <f t="shared" si="8"/>
        <v>38315.904010003287</v>
      </c>
    </row>
    <row r="92" spans="1:19" x14ac:dyDescent="0.35">
      <c r="A92" s="3" t="s">
        <v>45</v>
      </c>
      <c r="B92" s="16">
        <v>4.8883853430216079E-4</v>
      </c>
      <c r="C92" s="8" t="s">
        <v>124</v>
      </c>
      <c r="D92" s="33" t="str">
        <f t="shared" si="7"/>
        <v>No</v>
      </c>
      <c r="E92" s="19">
        <f>$B92*'Teva Payments'!C$26</f>
        <v>1634.9508490830469</v>
      </c>
      <c r="F92" s="19">
        <v>1673.58</v>
      </c>
      <c r="G92" s="19">
        <f>$B92*'Teva Payments'!E$26</f>
        <v>1825.2552258419682</v>
      </c>
      <c r="H92" s="19">
        <f>$B92*'Teva Payments'!F$26</f>
        <v>1825.2552258419685</v>
      </c>
      <c r="I92" s="19">
        <f>$B92*'Teva Payments'!G$26</f>
        <v>1825.2552258419685</v>
      </c>
      <c r="J92" s="19">
        <f>$B92*'Teva Payments'!H$26</f>
        <v>1825.2552258419685</v>
      </c>
      <c r="K92" s="19">
        <f>$B92*'Teva Payments'!I$26</f>
        <v>1825.2552257614113</v>
      </c>
      <c r="L92" s="19">
        <f>$B92*'Teva Payments'!J$26</f>
        <v>1825.2552257614113</v>
      </c>
      <c r="M92" s="19">
        <f>$B92*'Teva Payments'!K$26</f>
        <v>1825.2552257614113</v>
      </c>
      <c r="N92" s="19">
        <f>$B92*'Teva Payments'!L$26</f>
        <v>1825.2552257614113</v>
      </c>
      <c r="O92" s="19">
        <f>$B92*'Teva Payments'!M$26</f>
        <v>1825.2552257614113</v>
      </c>
      <c r="P92" s="19">
        <f>$B92*'Teva Payments'!N$26</f>
        <v>1825.2552257614113</v>
      </c>
      <c r="Q92" s="19">
        <f>$B92*'Teva Payments'!O$26</f>
        <v>1825.2716191240906</v>
      </c>
      <c r="R92" s="39" t="s">
        <v>346</v>
      </c>
      <c r="S92" s="7">
        <f t="shared" si="8"/>
        <v>23386.35472614348</v>
      </c>
    </row>
    <row r="93" spans="1:19" x14ac:dyDescent="0.35">
      <c r="A93" s="3" t="s">
        <v>105</v>
      </c>
      <c r="B93" s="16">
        <v>1.2927096154735895E-4</v>
      </c>
      <c r="C93" s="8" t="s">
        <v>125</v>
      </c>
      <c r="D93" s="33" t="str">
        <f t="shared" si="7"/>
        <v>No</v>
      </c>
      <c r="E93" s="19">
        <f>$B93*'Teva Payments'!C$26</f>
        <v>432.35476238662426</v>
      </c>
      <c r="F93" s="19">
        <v>442.57</v>
      </c>
      <c r="G93" s="19">
        <f>$B93*'Teva Payments'!E$26</f>
        <v>482.67982484393536</v>
      </c>
      <c r="H93" s="19">
        <f>$B93*'Teva Payments'!F$26</f>
        <v>482.67982484393542</v>
      </c>
      <c r="I93" s="19">
        <f>$B93*'Teva Payments'!G$26</f>
        <v>482.67982484393542</v>
      </c>
      <c r="J93" s="19">
        <f>$B93*'Teva Payments'!H$26</f>
        <v>482.67982484393542</v>
      </c>
      <c r="K93" s="19">
        <f>$B93*'Teva Payments'!I$26</f>
        <v>482.6798248226325</v>
      </c>
      <c r="L93" s="19">
        <f>$B93*'Teva Payments'!J$26</f>
        <v>482.6798248226325</v>
      </c>
      <c r="M93" s="19">
        <f>$B93*'Teva Payments'!K$26</f>
        <v>482.6798248226325</v>
      </c>
      <c r="N93" s="19">
        <f>$B93*'Teva Payments'!L$26</f>
        <v>482.6798248226325</v>
      </c>
      <c r="O93" s="19">
        <f>$B93*'Teva Payments'!M$26</f>
        <v>482.6798248226325</v>
      </c>
      <c r="P93" s="19">
        <f>$B93*'Teva Payments'!N$26</f>
        <v>482.6798248226325</v>
      </c>
      <c r="Q93" s="19">
        <f>$B93*'Teva Payments'!O$26</f>
        <v>482.68415996728214</v>
      </c>
      <c r="R93" s="39" t="s">
        <v>346</v>
      </c>
      <c r="S93" s="7">
        <f t="shared" si="8"/>
        <v>6184.4071706654422</v>
      </c>
    </row>
    <row r="94" spans="1:19" x14ac:dyDescent="0.35">
      <c r="A94" s="3" t="s">
        <v>14</v>
      </c>
      <c r="B94" s="16">
        <v>8.9914131120183972E-5</v>
      </c>
      <c r="C94" s="8" t="s">
        <v>126</v>
      </c>
      <c r="D94" s="33" t="str">
        <f t="shared" si="7"/>
        <v>No</v>
      </c>
      <c r="E94" s="19">
        <f>$B94*'Teva Payments'!C$26</f>
        <v>300.7233978175754</v>
      </c>
      <c r="F94" s="19">
        <v>307.83</v>
      </c>
      <c r="G94" s="19">
        <f>$B94*'Teva Payments'!E$26</f>
        <v>335.72688359856721</v>
      </c>
      <c r="H94" s="19">
        <f>$B94*'Teva Payments'!F$26</f>
        <v>335.72688359856727</v>
      </c>
      <c r="I94" s="19">
        <f>$B94*'Teva Payments'!G$26</f>
        <v>335.72688359856727</v>
      </c>
      <c r="J94" s="19">
        <f>$B94*'Teva Payments'!H$26</f>
        <v>335.72688359856727</v>
      </c>
      <c r="K94" s="19">
        <f>$B94*'Teva Payments'!I$26</f>
        <v>335.72688358375007</v>
      </c>
      <c r="L94" s="19">
        <f>$B94*'Teva Payments'!J$26</f>
        <v>335.72688358375007</v>
      </c>
      <c r="M94" s="19">
        <f>$B94*'Teva Payments'!K$26</f>
        <v>335.72688358375007</v>
      </c>
      <c r="N94" s="19">
        <f>$B94*'Teva Payments'!L$26</f>
        <v>335.72688358375007</v>
      </c>
      <c r="O94" s="19">
        <f>$B94*'Teva Payments'!M$26</f>
        <v>335.72688358375007</v>
      </c>
      <c r="P94" s="19">
        <f>$B94*'Teva Payments'!N$26</f>
        <v>335.72688358375007</v>
      </c>
      <c r="Q94" s="19">
        <f>$B94*'Teva Payments'!O$26</f>
        <v>335.72989888401383</v>
      </c>
      <c r="R94" s="39" t="s">
        <v>346</v>
      </c>
      <c r="S94" s="7">
        <f t="shared" si="8"/>
        <v>4301.5521325983573</v>
      </c>
    </row>
    <row r="95" spans="1:19" x14ac:dyDescent="0.35">
      <c r="A95" s="3" t="s">
        <v>22</v>
      </c>
      <c r="B95" s="16">
        <v>3.6022982039200801E-4</v>
      </c>
      <c r="C95" s="8" t="s">
        <v>127</v>
      </c>
      <c r="D95" s="33" t="str">
        <f t="shared" si="7"/>
        <v>No</v>
      </c>
      <c r="E95" s="19">
        <f>$B95*'Teva Payments'!C$26</f>
        <v>1204.8110150639236</v>
      </c>
      <c r="F95" s="19">
        <v>1233.27</v>
      </c>
      <c r="G95" s="19">
        <f>$B95*'Teva Payments'!E$26</f>
        <v>1345.0481417412266</v>
      </c>
      <c r="H95" s="19">
        <f>$B95*'Teva Payments'!F$26</f>
        <v>1345.0481417412268</v>
      </c>
      <c r="I95" s="19">
        <f>$B95*'Teva Payments'!G$26</f>
        <v>1345.0481417412268</v>
      </c>
      <c r="J95" s="19">
        <f>$B95*'Teva Payments'!H$26</f>
        <v>1345.0481417412268</v>
      </c>
      <c r="K95" s="19">
        <f>$B95*'Teva Payments'!I$26</f>
        <v>1345.0481416818636</v>
      </c>
      <c r="L95" s="19">
        <f>$B95*'Teva Payments'!J$26</f>
        <v>1345.0481416818636</v>
      </c>
      <c r="M95" s="19">
        <f>$B95*'Teva Payments'!K$26</f>
        <v>1345.0481416818636</v>
      </c>
      <c r="N95" s="19">
        <f>$B95*'Teva Payments'!L$26</f>
        <v>1345.0481416818636</v>
      </c>
      <c r="O95" s="19">
        <f>$B95*'Teva Payments'!M$26</f>
        <v>1345.0481416818636</v>
      </c>
      <c r="P95" s="19">
        <f>$B95*'Teva Payments'!N$26</f>
        <v>1345.0481416818636</v>
      </c>
      <c r="Q95" s="19">
        <f>$B95*'Teva Payments'!O$26</f>
        <v>1345.0602221085876</v>
      </c>
      <c r="R95" s="39" t="s">
        <v>346</v>
      </c>
      <c r="S95" s="7">
        <f t="shared" si="8"/>
        <v>17233.622654228599</v>
      </c>
    </row>
    <row r="96" spans="1:19" x14ac:dyDescent="0.35">
      <c r="A96" s="3" t="s">
        <v>99</v>
      </c>
      <c r="B96" s="16">
        <v>4.0665701695608492E-6</v>
      </c>
      <c r="C96" s="8" t="s">
        <v>128</v>
      </c>
      <c r="D96" s="33" t="str">
        <f t="shared" si="7"/>
        <v>Yes</v>
      </c>
      <c r="E96" s="19">
        <f>B96*'Teva Payments'!$Q$26</f>
        <v>195.80913478847799</v>
      </c>
      <c r="F96" s="19">
        <v>0</v>
      </c>
      <c r="G96" s="52">
        <f>$B96*'Teva Payments'!E$26</f>
        <v>15.184008486237682</v>
      </c>
      <c r="H96" s="52">
        <f>$B96*'Teva Payments'!F$26</f>
        <v>15.184008486237683</v>
      </c>
      <c r="I96" s="52">
        <f>$B96*'Teva Payments'!G$26</f>
        <v>15.184008486237683</v>
      </c>
      <c r="J96" s="52">
        <f>$B96*'Teva Payments'!H$26</f>
        <v>15.184008486237683</v>
      </c>
      <c r="K96" s="52">
        <f>$B96*'Teva Payments'!I$26</f>
        <v>15.18400848556754</v>
      </c>
      <c r="L96" s="52">
        <f>$B96*'Teva Payments'!J$26</f>
        <v>15.18400848556754</v>
      </c>
      <c r="M96" s="52">
        <f>$B96*'Teva Payments'!K$26</f>
        <v>15.18400848556754</v>
      </c>
      <c r="N96" s="52">
        <f>$B96*'Teva Payments'!L$26</f>
        <v>15.18400848556754</v>
      </c>
      <c r="O96" s="52">
        <f>$B96*'Teva Payments'!M$26</f>
        <v>15.18400848556754</v>
      </c>
      <c r="P96" s="52">
        <f>$B96*'Teva Payments'!N$26</f>
        <v>15.18400848556754</v>
      </c>
      <c r="Q96" s="52">
        <f>$B96*'Teva Payments'!O$26</f>
        <v>15.184144859349418</v>
      </c>
      <c r="R96" s="39" t="s">
        <v>346</v>
      </c>
      <c r="S96" s="7">
        <f>E96</f>
        <v>195.80913478847799</v>
      </c>
    </row>
    <row r="97" spans="1:19" x14ac:dyDescent="0.35">
      <c r="A97" s="3" t="s">
        <v>63</v>
      </c>
      <c r="B97" s="16">
        <v>1.2946224462663598E-4</v>
      </c>
      <c r="C97" s="8" t="s">
        <v>129</v>
      </c>
      <c r="D97" s="33" t="str">
        <f t="shared" si="7"/>
        <v>No</v>
      </c>
      <c r="E97" s="19">
        <f>$B97*'Teva Payments'!C$26</f>
        <v>432.99452052951631</v>
      </c>
      <c r="F97" s="19">
        <v>0</v>
      </c>
      <c r="G97" s="19">
        <f>$B97*'Teva Payments'!E$26</f>
        <v>483.39404930777386</v>
      </c>
      <c r="H97" s="19">
        <f>$B97*'Teva Payments'!F$26</f>
        <v>483.39404930777391</v>
      </c>
      <c r="I97" s="19">
        <f>$B97*'Teva Payments'!G$26</f>
        <v>483.39404930777391</v>
      </c>
      <c r="J97" s="19">
        <f>$B97*'Teva Payments'!H$26</f>
        <v>483.39404930777391</v>
      </c>
      <c r="K97" s="19">
        <f>$B97*'Teva Payments'!I$26</f>
        <v>483.39404928643944</v>
      </c>
      <c r="L97" s="19">
        <f>$B97*'Teva Payments'!J$26</f>
        <v>483.39404928643944</v>
      </c>
      <c r="M97" s="19">
        <f>$B97*'Teva Payments'!K$26</f>
        <v>483.39404928643944</v>
      </c>
      <c r="N97" s="19">
        <f>$B97*'Teva Payments'!L$26</f>
        <v>483.39404928643944</v>
      </c>
      <c r="O97" s="19">
        <f>$B97*'Teva Payments'!M$26</f>
        <v>483.39404928643944</v>
      </c>
      <c r="P97" s="19">
        <f>$B97*'Teva Payments'!N$26</f>
        <v>483.39404928643944</v>
      </c>
      <c r="Q97" s="19">
        <f>$B97*'Teva Payments'!O$26</f>
        <v>483.39839084583076</v>
      </c>
      <c r="R97" s="39" t="s">
        <v>346</v>
      </c>
      <c r="S97" s="7">
        <f t="shared" si="8"/>
        <v>5750.3334043250788</v>
      </c>
    </row>
    <row r="98" spans="1:19" x14ac:dyDescent="0.35">
      <c r="A98" s="3" t="s">
        <v>63</v>
      </c>
      <c r="B98" s="16">
        <v>2.0590679067840002E-2</v>
      </c>
      <c r="C98" s="8" t="s">
        <v>63</v>
      </c>
      <c r="D98" s="33" t="str">
        <f t="shared" si="7"/>
        <v>No</v>
      </c>
      <c r="E98" s="19">
        <f>$B98*'Teva Payments'!C$26</f>
        <v>68866.805423225247</v>
      </c>
      <c r="F98" s="19">
        <v>70936.97</v>
      </c>
      <c r="G98" s="19">
        <f>$B98*'Teva Payments'!E$26</f>
        <v>76882.737212731357</v>
      </c>
      <c r="H98" s="19">
        <f>$B98*'Teva Payments'!F$26</f>
        <v>76882.737212731372</v>
      </c>
      <c r="I98" s="19">
        <f>$B98*'Teva Payments'!G$26</f>
        <v>76882.737212731372</v>
      </c>
      <c r="J98" s="19">
        <f>$B98*'Teva Payments'!H$26</f>
        <v>76882.737212731372</v>
      </c>
      <c r="K98" s="19">
        <f>$B98*'Teva Payments'!I$26</f>
        <v>76882.737209338171</v>
      </c>
      <c r="L98" s="19">
        <f>$B98*'Teva Payments'!J$26</f>
        <v>76882.737209338171</v>
      </c>
      <c r="M98" s="19">
        <f>$B98*'Teva Payments'!K$26</f>
        <v>76882.737209338171</v>
      </c>
      <c r="N98" s="19">
        <f>$B98*'Teva Payments'!L$26</f>
        <v>76882.737209338171</v>
      </c>
      <c r="O98" s="19">
        <f>$B98*'Teva Payments'!M$26</f>
        <v>76882.737209338171</v>
      </c>
      <c r="P98" s="19">
        <f>$B98*'Teva Payments'!N$26</f>
        <v>76882.737209338171</v>
      </c>
      <c r="Q98" s="19">
        <f>$B98*'Teva Payments'!O$26</f>
        <v>76883.427724602589</v>
      </c>
      <c r="R98" s="39" t="s">
        <v>346</v>
      </c>
      <c r="S98" s="7">
        <f t="shared" si="8"/>
        <v>985514.57525478257</v>
      </c>
    </row>
    <row r="99" spans="1:19" x14ac:dyDescent="0.35">
      <c r="A99" s="3" t="s">
        <v>60</v>
      </c>
      <c r="B99" s="16">
        <v>7.5616735127273667E-7</v>
      </c>
      <c r="C99" s="8" t="s">
        <v>130</v>
      </c>
      <c r="D99" s="8" t="s">
        <v>337</v>
      </c>
      <c r="E99" s="19">
        <v>0</v>
      </c>
      <c r="F99" s="19">
        <v>0</v>
      </c>
      <c r="G99" s="19">
        <v>0</v>
      </c>
      <c r="H99" s="19">
        <v>0</v>
      </c>
      <c r="I99" s="19">
        <v>0</v>
      </c>
      <c r="J99" s="19">
        <v>0</v>
      </c>
      <c r="K99" s="19">
        <v>0</v>
      </c>
      <c r="L99" s="19">
        <v>0</v>
      </c>
      <c r="M99" s="19">
        <v>0</v>
      </c>
      <c r="N99" s="19">
        <v>0</v>
      </c>
      <c r="O99" s="19">
        <v>0</v>
      </c>
      <c r="P99" s="19">
        <v>0</v>
      </c>
      <c r="Q99" s="19">
        <v>0</v>
      </c>
      <c r="R99" s="39" t="s">
        <v>346</v>
      </c>
      <c r="S99" s="7">
        <f t="shared" si="8"/>
        <v>0</v>
      </c>
    </row>
    <row r="100" spans="1:19" x14ac:dyDescent="0.35">
      <c r="A100" s="3" t="s">
        <v>24</v>
      </c>
      <c r="B100" s="16">
        <v>7.2026920920619308E-5</v>
      </c>
      <c r="C100" s="8" t="s">
        <v>131</v>
      </c>
      <c r="D100" s="33" t="str">
        <f t="shared" ref="D100:D152" si="9">IF(B100&lt;0.000083,"Yes","No")</f>
        <v>Yes</v>
      </c>
      <c r="E100" s="19">
        <f>B100*'Teva Payments'!$Q$26</f>
        <v>3468.163213440293</v>
      </c>
      <c r="F100" s="19">
        <v>0</v>
      </c>
      <c r="G100" s="52">
        <f>$B100*'Teva Payments'!E$26</f>
        <v>268.93852384068379</v>
      </c>
      <c r="H100" s="52">
        <f>$B100*'Teva Payments'!F$26</f>
        <v>268.93852384068384</v>
      </c>
      <c r="I100" s="52">
        <f>$B100*'Teva Payments'!G$26</f>
        <v>268.93852384068384</v>
      </c>
      <c r="J100" s="52">
        <f>$B100*'Teva Payments'!H$26</f>
        <v>268.93852384068384</v>
      </c>
      <c r="K100" s="52">
        <f>$B100*'Teva Payments'!I$26</f>
        <v>268.93852382881431</v>
      </c>
      <c r="L100" s="52">
        <f>$B100*'Teva Payments'!J$26</f>
        <v>268.93852382881431</v>
      </c>
      <c r="M100" s="52">
        <f>$B100*'Teva Payments'!K$26</f>
        <v>268.93852382881431</v>
      </c>
      <c r="N100" s="52">
        <f>$B100*'Teva Payments'!L$26</f>
        <v>268.93852382881431</v>
      </c>
      <c r="O100" s="52">
        <f>$B100*'Teva Payments'!M$26</f>
        <v>268.93852382881431</v>
      </c>
      <c r="P100" s="52">
        <f>$B100*'Teva Payments'!N$26</f>
        <v>268.93852382881431</v>
      </c>
      <c r="Q100" s="52">
        <f>$B100*'Teva Payments'!O$26</f>
        <v>268.94093927554047</v>
      </c>
      <c r="R100" s="39" t="s">
        <v>346</v>
      </c>
      <c r="S100" s="7">
        <f>E100</f>
        <v>3468.163213440293</v>
      </c>
    </row>
    <row r="101" spans="1:19" x14ac:dyDescent="0.35">
      <c r="A101" s="3" t="s">
        <v>132</v>
      </c>
      <c r="B101" s="16">
        <v>2.150307736298917E-3</v>
      </c>
      <c r="C101" s="8" t="s">
        <v>132</v>
      </c>
      <c r="D101" s="33" t="str">
        <f t="shared" si="9"/>
        <v>No</v>
      </c>
      <c r="E101" s="19">
        <f>$B101*'Teva Payments'!C$26</f>
        <v>7191.8378207857631</v>
      </c>
      <c r="F101" s="19">
        <v>7361.74</v>
      </c>
      <c r="G101" s="19">
        <f>$B101*'Teva Payments'!E$26</f>
        <v>8028.9505786423488</v>
      </c>
      <c r="H101" s="19">
        <f>$B101*'Teva Payments'!F$26</f>
        <v>8028.9505786423497</v>
      </c>
      <c r="I101" s="19">
        <f>$B101*'Teva Payments'!G$26</f>
        <v>8028.9505786423497</v>
      </c>
      <c r="J101" s="19">
        <f>$B101*'Teva Payments'!H$26</f>
        <v>8028.9505786423497</v>
      </c>
      <c r="K101" s="19">
        <f>$B101*'Teva Payments'!I$26</f>
        <v>8028.9505782879942</v>
      </c>
      <c r="L101" s="19">
        <f>$B101*'Teva Payments'!J$26</f>
        <v>8028.9505782879942</v>
      </c>
      <c r="M101" s="19">
        <f>$B101*'Teva Payments'!K$26</f>
        <v>8028.9505782879942</v>
      </c>
      <c r="N101" s="19">
        <f>$B101*'Teva Payments'!L$26</f>
        <v>8028.9505782879942</v>
      </c>
      <c r="O101" s="19">
        <f>$B101*'Teva Payments'!M$26</f>
        <v>8028.9505782879942</v>
      </c>
      <c r="P101" s="19">
        <f>$B101*'Teva Payments'!N$26</f>
        <v>8028.9505782879942</v>
      </c>
      <c r="Q101" s="19">
        <f>$B101*'Teva Payments'!O$26</f>
        <v>8029.0226895724354</v>
      </c>
      <c r="R101" s="39" t="s">
        <v>346</v>
      </c>
      <c r="S101" s="7">
        <f t="shared" si="8"/>
        <v>102872.10629465558</v>
      </c>
    </row>
    <row r="102" spans="1:19" x14ac:dyDescent="0.35">
      <c r="A102" s="3" t="s">
        <v>133</v>
      </c>
      <c r="B102" s="16">
        <v>7.4672268357818962E-4</v>
      </c>
      <c r="C102" s="8" t="s">
        <v>133</v>
      </c>
      <c r="D102" s="33" t="str">
        <f t="shared" si="9"/>
        <v>No</v>
      </c>
      <c r="E102" s="19">
        <f>$B102*'Teva Payments'!C$26</f>
        <v>2497.4604084527791</v>
      </c>
      <c r="F102" s="19">
        <v>2556.46</v>
      </c>
      <c r="G102" s="19">
        <f>$B102*'Teva Payments'!E$26</f>
        <v>2788.1588394039263</v>
      </c>
      <c r="H102" s="19">
        <f>$B102*'Teva Payments'!F$26</f>
        <v>2788.1588394039268</v>
      </c>
      <c r="I102" s="19">
        <f>$B102*'Teva Payments'!G$26</f>
        <v>2788.1588394039268</v>
      </c>
      <c r="J102" s="19">
        <f>$B102*'Teva Payments'!H$26</f>
        <v>2788.1588394039268</v>
      </c>
      <c r="K102" s="19">
        <f>$B102*'Teva Payments'!I$26</f>
        <v>2788.1588392808721</v>
      </c>
      <c r="L102" s="19">
        <f>$B102*'Teva Payments'!J$26</f>
        <v>2788.1588392808721</v>
      </c>
      <c r="M102" s="19">
        <f>$B102*'Teva Payments'!K$26</f>
        <v>2788.1588392808721</v>
      </c>
      <c r="N102" s="19">
        <f>$B102*'Teva Payments'!L$26</f>
        <v>2788.1588392808721</v>
      </c>
      <c r="O102" s="19">
        <f>$B102*'Teva Payments'!M$26</f>
        <v>2788.1588392808721</v>
      </c>
      <c r="P102" s="19">
        <f>$B102*'Teva Payments'!N$26</f>
        <v>2788.1588392808721</v>
      </c>
      <c r="Q102" s="19">
        <f>$B102*'Teva Payments'!O$26</f>
        <v>2788.1838808741873</v>
      </c>
      <c r="R102" s="39" t="s">
        <v>346</v>
      </c>
      <c r="S102" s="7">
        <f t="shared" si="8"/>
        <v>35723.692682627909</v>
      </c>
    </row>
    <row r="103" spans="1:19" x14ac:dyDescent="0.35">
      <c r="A103" s="3" t="s">
        <v>63</v>
      </c>
      <c r="B103" s="16">
        <v>2.0983361149949468E-4</v>
      </c>
      <c r="C103" s="8" t="s">
        <v>134</v>
      </c>
      <c r="D103" s="33" t="str">
        <f t="shared" si="9"/>
        <v>No</v>
      </c>
      <c r="E103" s="19">
        <f>$B103*'Teva Payments'!C$26</f>
        <v>701.80155043833781</v>
      </c>
      <c r="F103" s="19">
        <v>718.38</v>
      </c>
      <c r="G103" s="19">
        <f>$B103*'Teva Payments'!E$26</f>
        <v>783.48957594657668</v>
      </c>
      <c r="H103" s="19">
        <f>$B103*'Teva Payments'!F$26</f>
        <v>783.48957594657668</v>
      </c>
      <c r="I103" s="19">
        <f>$B103*'Teva Payments'!G$26</f>
        <v>783.48957594657668</v>
      </c>
      <c r="J103" s="19">
        <f>$B103*'Teva Payments'!H$26</f>
        <v>783.48957594657668</v>
      </c>
      <c r="K103" s="19">
        <f>$B103*'Teva Payments'!I$26</f>
        <v>783.48957591199769</v>
      </c>
      <c r="L103" s="19">
        <f>$B103*'Teva Payments'!J$26</f>
        <v>783.48957591199769</v>
      </c>
      <c r="M103" s="19">
        <f>$B103*'Teva Payments'!K$26</f>
        <v>783.48957591199769</v>
      </c>
      <c r="N103" s="19">
        <f>$B103*'Teva Payments'!L$26</f>
        <v>783.48957591199769</v>
      </c>
      <c r="O103" s="19">
        <f>$B103*'Teva Payments'!M$26</f>
        <v>783.48957591199769</v>
      </c>
      <c r="P103" s="19">
        <f>$B103*'Teva Payments'!N$26</f>
        <v>783.48957591199769</v>
      </c>
      <c r="Q103" s="19">
        <f>$B103*'Teva Payments'!O$26</f>
        <v>783.49661275188282</v>
      </c>
      <c r="R103" s="39" t="s">
        <v>346</v>
      </c>
      <c r="S103" s="7">
        <f t="shared" si="8"/>
        <v>10038.573922448511</v>
      </c>
    </row>
    <row r="104" spans="1:19" x14ac:dyDescent="0.35">
      <c r="A104" s="3" t="s">
        <v>24</v>
      </c>
      <c r="B104" s="16">
        <v>1.1276184998321618E-4</v>
      </c>
      <c r="C104" s="8" t="s">
        <v>135</v>
      </c>
      <c r="D104" s="33" t="str">
        <f t="shared" si="9"/>
        <v>No</v>
      </c>
      <c r="E104" s="19">
        <f>$B104*'Teva Payments'!C$26</f>
        <v>377.13901306372424</v>
      </c>
      <c r="F104" s="19">
        <v>386.05</v>
      </c>
      <c r="G104" s="19">
        <f>$B104*'Teva Payments'!E$26</f>
        <v>421.03709408115623</v>
      </c>
      <c r="H104" s="19">
        <f>$B104*'Teva Payments'!F$26</f>
        <v>421.03709408115628</v>
      </c>
      <c r="I104" s="19">
        <f>$B104*'Teva Payments'!G$26</f>
        <v>421.03709408115628</v>
      </c>
      <c r="J104" s="19">
        <f>$B104*'Teva Payments'!H$26</f>
        <v>421.03709408115628</v>
      </c>
      <c r="K104" s="19">
        <f>$B104*'Teva Payments'!I$26</f>
        <v>421.03709406257394</v>
      </c>
      <c r="L104" s="19">
        <f>$B104*'Teva Payments'!J$26</f>
        <v>421.03709406257394</v>
      </c>
      <c r="M104" s="19">
        <f>$B104*'Teva Payments'!K$26</f>
        <v>421.03709406257394</v>
      </c>
      <c r="N104" s="19">
        <f>$B104*'Teva Payments'!L$26</f>
        <v>421.03709406257394</v>
      </c>
      <c r="O104" s="19">
        <f>$B104*'Teva Payments'!M$26</f>
        <v>421.03709406257394</v>
      </c>
      <c r="P104" s="19">
        <f>$B104*'Teva Payments'!N$26</f>
        <v>421.03709406257394</v>
      </c>
      <c r="Q104" s="19">
        <f>$B104*'Teva Payments'!O$26</f>
        <v>421.04087556868166</v>
      </c>
      <c r="R104" s="39" t="s">
        <v>346</v>
      </c>
      <c r="S104" s="7">
        <f t="shared" si="8"/>
        <v>5394.6008293324749</v>
      </c>
    </row>
    <row r="105" spans="1:19" x14ac:dyDescent="0.35">
      <c r="A105" s="3" t="s">
        <v>24</v>
      </c>
      <c r="B105" s="16">
        <v>3.4772891380126724E-4</v>
      </c>
      <c r="C105" s="8" t="s">
        <v>136</v>
      </c>
      <c r="D105" s="33" t="str">
        <f t="shared" si="9"/>
        <v>No</v>
      </c>
      <c r="E105" s="19">
        <f>$B105*'Teva Payments'!C$26</f>
        <v>1163.0009563008266</v>
      </c>
      <c r="F105" s="19">
        <v>1190.48</v>
      </c>
      <c r="G105" s="19">
        <f>$B105*'Teva Payments'!E$26</f>
        <v>1298.3714919245654</v>
      </c>
      <c r="H105" s="19">
        <f>$B105*'Teva Payments'!F$26</f>
        <v>1298.3714919245656</v>
      </c>
      <c r="I105" s="19">
        <f>$B105*'Teva Payments'!G$26</f>
        <v>1298.3714919245656</v>
      </c>
      <c r="J105" s="19">
        <f>$B105*'Teva Payments'!H$26</f>
        <v>1298.3714919245656</v>
      </c>
      <c r="K105" s="19">
        <f>$B105*'Teva Payments'!I$26</f>
        <v>1298.3714918672624</v>
      </c>
      <c r="L105" s="19">
        <f>$B105*'Teva Payments'!J$26</f>
        <v>1298.3714918672624</v>
      </c>
      <c r="M105" s="19">
        <f>$B105*'Teva Payments'!K$26</f>
        <v>1298.3714918672624</v>
      </c>
      <c r="N105" s="19">
        <f>$B105*'Teva Payments'!L$26</f>
        <v>1298.3714918672624</v>
      </c>
      <c r="O105" s="19">
        <f>$B105*'Teva Payments'!M$26</f>
        <v>1298.3714918672624</v>
      </c>
      <c r="P105" s="19">
        <f>$B105*'Teva Payments'!N$26</f>
        <v>1298.3714918672624</v>
      </c>
      <c r="Q105" s="19">
        <f>$B105*'Teva Payments'!O$26</f>
        <v>1298.3831530719301</v>
      </c>
      <c r="R105" s="39" t="s">
        <v>346</v>
      </c>
      <c r="S105" s="7">
        <f t="shared" si="8"/>
        <v>16635.579028274598</v>
      </c>
    </row>
    <row r="106" spans="1:19" x14ac:dyDescent="0.35">
      <c r="A106" s="3" t="s">
        <v>14</v>
      </c>
      <c r="B106" s="16">
        <v>3.7568288969454963E-5</v>
      </c>
      <c r="C106" s="8" t="s">
        <v>137</v>
      </c>
      <c r="D106" s="33" t="str">
        <f t="shared" si="9"/>
        <v>Yes</v>
      </c>
      <c r="E106" s="19">
        <f>B106*'Teva Payments'!$Q$26</f>
        <v>1808.9480451254328</v>
      </c>
      <c r="F106" s="19">
        <v>0</v>
      </c>
      <c r="G106" s="52">
        <f>$B106*'Teva Payments'!E$26</f>
        <v>140.27477573004364</v>
      </c>
      <c r="H106" s="52">
        <f>$B106*'Teva Payments'!F$26</f>
        <v>140.27477573004364</v>
      </c>
      <c r="I106" s="52">
        <f>$B106*'Teva Payments'!G$26</f>
        <v>140.27477573004364</v>
      </c>
      <c r="J106" s="52">
        <f>$B106*'Teva Payments'!H$26</f>
        <v>140.27477573004364</v>
      </c>
      <c r="K106" s="52">
        <f>$B106*'Teva Payments'!I$26</f>
        <v>140.27477572385266</v>
      </c>
      <c r="L106" s="52">
        <f>$B106*'Teva Payments'!J$26</f>
        <v>140.27477572385266</v>
      </c>
      <c r="M106" s="52">
        <f>$B106*'Teva Payments'!K$26</f>
        <v>140.27477572385266</v>
      </c>
      <c r="N106" s="52">
        <f>$B106*'Teva Payments'!L$26</f>
        <v>140.27477572385266</v>
      </c>
      <c r="O106" s="52">
        <f>$B106*'Teva Payments'!M$26</f>
        <v>140.27477572385266</v>
      </c>
      <c r="P106" s="52">
        <f>$B106*'Teva Payments'!N$26</f>
        <v>140.27477572385266</v>
      </c>
      <c r="Q106" s="52">
        <f>$B106*'Teva Payments'!O$26</f>
        <v>140.27603558890644</v>
      </c>
      <c r="R106" s="39" t="s">
        <v>346</v>
      </c>
      <c r="S106" s="7">
        <f>E106</f>
        <v>1808.9480451254328</v>
      </c>
    </row>
    <row r="107" spans="1:19" x14ac:dyDescent="0.35">
      <c r="A107" s="3" t="s">
        <v>14</v>
      </c>
      <c r="B107" s="16">
        <v>1.3440310107840001E-2</v>
      </c>
      <c r="C107" s="8" t="s">
        <v>138</v>
      </c>
      <c r="D107" s="33" t="str">
        <f t="shared" si="9"/>
        <v>No</v>
      </c>
      <c r="E107" s="19">
        <f>$B107*'Teva Payments'!C$26</f>
        <v>44951.952190351978</v>
      </c>
      <c r="F107" s="19">
        <v>46013.919999999998</v>
      </c>
      <c r="G107" s="19">
        <f>$B107*'Teva Payments'!E$26</f>
        <v>50184.252140212579</v>
      </c>
      <c r="H107" s="19">
        <f>$B107*'Teva Payments'!F$26</f>
        <v>50184.252140212579</v>
      </c>
      <c r="I107" s="19">
        <f>$B107*'Teva Payments'!G$26</f>
        <v>50184.252140212579</v>
      </c>
      <c r="J107" s="19">
        <f>$B107*'Teva Payments'!H$26</f>
        <v>50184.252140212579</v>
      </c>
      <c r="K107" s="19">
        <f>$B107*'Teva Payments'!I$26</f>
        <v>50184.252137997712</v>
      </c>
      <c r="L107" s="19">
        <f>$B107*'Teva Payments'!J$26</f>
        <v>50184.252137997712</v>
      </c>
      <c r="M107" s="19">
        <f>$B107*'Teva Payments'!K$26</f>
        <v>50184.252137997712</v>
      </c>
      <c r="N107" s="19">
        <f>$B107*'Teva Payments'!L$26</f>
        <v>50184.252137997712</v>
      </c>
      <c r="O107" s="19">
        <f>$B107*'Teva Payments'!M$26</f>
        <v>50184.252137997712</v>
      </c>
      <c r="P107" s="19">
        <f>$B107*'Teva Payments'!N$26</f>
        <v>50184.252137997712</v>
      </c>
      <c r="Q107" s="19">
        <f>$B107*'Teva Payments'!O$26</f>
        <v>50184.702863263126</v>
      </c>
      <c r="R107" s="39" t="s">
        <v>346</v>
      </c>
      <c r="S107" s="7">
        <f t="shared" si="8"/>
        <v>642993.09644245158</v>
      </c>
    </row>
    <row r="108" spans="1:19" x14ac:dyDescent="0.35">
      <c r="A108" s="3" t="s">
        <v>99</v>
      </c>
      <c r="B108" s="16">
        <v>9.2338019804800008E-3</v>
      </c>
      <c r="C108" s="8" t="s">
        <v>99</v>
      </c>
      <c r="D108" s="33" t="str">
        <f t="shared" si="9"/>
        <v>No</v>
      </c>
      <c r="E108" s="19">
        <f>$B108*'Teva Payments'!C$26</f>
        <v>30883.024411735219</v>
      </c>
      <c r="F108" s="19">
        <v>31612.62</v>
      </c>
      <c r="G108" s="19">
        <f>$B108*'Teva Payments'!E$26</f>
        <v>34477.734745933958</v>
      </c>
      <c r="H108" s="19">
        <f>$B108*'Teva Payments'!F$26</f>
        <v>34477.734745933965</v>
      </c>
      <c r="I108" s="19">
        <f>$B108*'Teva Payments'!G$26</f>
        <v>34477.734745933965</v>
      </c>
      <c r="J108" s="19">
        <f>$B108*'Teva Payments'!H$26</f>
        <v>34477.734745933965</v>
      </c>
      <c r="K108" s="19">
        <f>$B108*'Teva Payments'!I$26</f>
        <v>34477.734744412301</v>
      </c>
      <c r="L108" s="19">
        <f>$B108*'Teva Payments'!J$26</f>
        <v>34477.734744412301</v>
      </c>
      <c r="M108" s="19">
        <f>$B108*'Teva Payments'!K$26</f>
        <v>34477.734744412301</v>
      </c>
      <c r="N108" s="19">
        <f>$B108*'Teva Payments'!L$26</f>
        <v>34477.734744412301</v>
      </c>
      <c r="O108" s="19">
        <f>$B108*'Teva Payments'!M$26</f>
        <v>34477.734744412301</v>
      </c>
      <c r="P108" s="19">
        <f>$B108*'Teva Payments'!N$26</f>
        <v>34477.734744412301</v>
      </c>
      <c r="Q108" s="19">
        <f>$B108*'Teva Payments'!O$26</f>
        <v>34478.044403029926</v>
      </c>
      <c r="R108" s="39" t="s">
        <v>346</v>
      </c>
      <c r="S108" s="7">
        <f t="shared" si="8"/>
        <v>441751.03626497486</v>
      </c>
    </row>
    <row r="109" spans="1:19" x14ac:dyDescent="0.35">
      <c r="A109" s="3" t="s">
        <v>14</v>
      </c>
      <c r="B109" s="16">
        <v>2.7801574282541815E-4</v>
      </c>
      <c r="C109" s="8" t="s">
        <v>139</v>
      </c>
      <c r="D109" s="33" t="str">
        <f t="shared" si="9"/>
        <v>No</v>
      </c>
      <c r="E109" s="19">
        <f>$B109*'Teva Payments'!C$26</f>
        <v>929.84092475391867</v>
      </c>
      <c r="F109" s="19">
        <v>951.81</v>
      </c>
      <c r="G109" s="19">
        <f>$B109*'Teva Payments'!E$26</f>
        <v>1038.072189179682</v>
      </c>
      <c r="H109" s="19">
        <f>$B109*'Teva Payments'!F$26</f>
        <v>1038.0721891796823</v>
      </c>
      <c r="I109" s="19">
        <f>$B109*'Teva Payments'!G$26</f>
        <v>1038.0721891796823</v>
      </c>
      <c r="J109" s="19">
        <f>$B109*'Teva Payments'!H$26</f>
        <v>1038.0721891796823</v>
      </c>
      <c r="K109" s="19">
        <f>$B109*'Teva Payments'!I$26</f>
        <v>1038.0721891338671</v>
      </c>
      <c r="L109" s="19">
        <f>$B109*'Teva Payments'!J$26</f>
        <v>1038.0721891338671</v>
      </c>
      <c r="M109" s="19">
        <f>$B109*'Teva Payments'!K$26</f>
        <v>1038.0721891338671</v>
      </c>
      <c r="N109" s="19">
        <f>$B109*'Teva Payments'!L$26</f>
        <v>1038.0721891338671</v>
      </c>
      <c r="O109" s="19">
        <f>$B109*'Teva Payments'!M$26</f>
        <v>1038.0721891338671</v>
      </c>
      <c r="P109" s="19">
        <f>$B109*'Teva Payments'!N$26</f>
        <v>1038.0721891338671</v>
      </c>
      <c r="Q109" s="19">
        <f>$B109*'Teva Payments'!O$26</f>
        <v>1038.081512484182</v>
      </c>
      <c r="R109" s="39" t="s">
        <v>346</v>
      </c>
      <c r="S109" s="7">
        <f t="shared" si="8"/>
        <v>13300.454328760032</v>
      </c>
    </row>
    <row r="110" spans="1:19" x14ac:dyDescent="0.35">
      <c r="A110" s="3" t="s">
        <v>140</v>
      </c>
      <c r="B110" s="16">
        <v>3.5251722027200001E-3</v>
      </c>
      <c r="C110" s="8" t="s">
        <v>140</v>
      </c>
      <c r="D110" s="33" t="str">
        <f t="shared" si="9"/>
        <v>No</v>
      </c>
      <c r="E110" s="19">
        <f>$B110*'Teva Payments'!C$26</f>
        <v>11790.157447854746</v>
      </c>
      <c r="F110" s="19">
        <v>12068.69</v>
      </c>
      <c r="G110" s="19">
        <f>$B110*'Teva Payments'!E$26</f>
        <v>13162.503635669462</v>
      </c>
      <c r="H110" s="19">
        <f>$B110*'Teva Payments'!F$26</f>
        <v>13162.503635669464</v>
      </c>
      <c r="I110" s="19">
        <f>$B110*'Teva Payments'!G$26</f>
        <v>13162.503635669464</v>
      </c>
      <c r="J110" s="19">
        <f>$B110*'Teva Payments'!H$26</f>
        <v>13162.503635669464</v>
      </c>
      <c r="K110" s="19">
        <f>$B110*'Teva Payments'!I$26</f>
        <v>13162.50363508854</v>
      </c>
      <c r="L110" s="19">
        <f>$B110*'Teva Payments'!J$26</f>
        <v>13162.50363508854</v>
      </c>
      <c r="M110" s="19">
        <f>$B110*'Teva Payments'!K$26</f>
        <v>13162.50363508854</v>
      </c>
      <c r="N110" s="19">
        <f>$B110*'Teva Payments'!L$26</f>
        <v>13162.50363508854</v>
      </c>
      <c r="O110" s="19">
        <f>$B110*'Teva Payments'!M$26</f>
        <v>13162.50363508854</v>
      </c>
      <c r="P110" s="19">
        <f>$B110*'Teva Payments'!N$26</f>
        <v>13162.50363508854</v>
      </c>
      <c r="Q110" s="19">
        <f>$B110*'Teva Payments'!O$26</f>
        <v>13162.621852909704</v>
      </c>
      <c r="R110" s="39" t="s">
        <v>346</v>
      </c>
      <c r="S110" s="7">
        <f t="shared" si="8"/>
        <v>168646.50565397352</v>
      </c>
    </row>
    <row r="111" spans="1:19" x14ac:dyDescent="0.35">
      <c r="A111" s="3" t="s">
        <v>60</v>
      </c>
      <c r="B111" s="16">
        <v>3.2169530493678236E-4</v>
      </c>
      <c r="C111" s="8" t="s">
        <v>141</v>
      </c>
      <c r="D111" s="33" t="str">
        <f t="shared" si="9"/>
        <v>No</v>
      </c>
      <c r="E111" s="19">
        <f>$B111*'Teva Payments'!C$26</f>
        <v>1075.9299340082673</v>
      </c>
      <c r="F111" s="19">
        <v>1101.3499999999999</v>
      </c>
      <c r="G111" s="19">
        <f>$B111*'Teva Payments'!E$26</f>
        <v>1201.165610446214</v>
      </c>
      <c r="H111" s="19">
        <f>$B111*'Teva Payments'!F$26</f>
        <v>1201.1656104462143</v>
      </c>
      <c r="I111" s="19">
        <f>$B111*'Teva Payments'!G$26</f>
        <v>1201.1656104462143</v>
      </c>
      <c r="J111" s="19">
        <f>$B111*'Teva Payments'!H$26</f>
        <v>1201.1656104462143</v>
      </c>
      <c r="K111" s="19">
        <f>$B111*'Teva Payments'!I$26</f>
        <v>1201.1656103932012</v>
      </c>
      <c r="L111" s="19">
        <f>$B111*'Teva Payments'!J$26</f>
        <v>1201.1656103932012</v>
      </c>
      <c r="M111" s="19">
        <f>$B111*'Teva Payments'!K$26</f>
        <v>1201.1656103932012</v>
      </c>
      <c r="N111" s="19">
        <f>$B111*'Teva Payments'!L$26</f>
        <v>1201.1656103932012</v>
      </c>
      <c r="O111" s="19">
        <f>$B111*'Teva Payments'!M$26</f>
        <v>1201.1656103932012</v>
      </c>
      <c r="P111" s="19">
        <f>$B111*'Teva Payments'!N$26</f>
        <v>1201.1656103932012</v>
      </c>
      <c r="Q111" s="19">
        <f>$B111*'Teva Payments'!O$26</f>
        <v>1201.1763985521452</v>
      </c>
      <c r="R111" s="39" t="s">
        <v>346</v>
      </c>
      <c r="S111" s="7">
        <f t="shared" si="8"/>
        <v>15390.112436704479</v>
      </c>
    </row>
    <row r="112" spans="1:19" x14ac:dyDescent="0.35">
      <c r="A112" s="3" t="s">
        <v>22</v>
      </c>
      <c r="B112" s="16">
        <v>2.1422289115943018E-4</v>
      </c>
      <c r="C112" s="8" t="s">
        <v>142</v>
      </c>
      <c r="D112" s="33" t="str">
        <f t="shared" si="9"/>
        <v>No</v>
      </c>
      <c r="E112" s="19">
        <f>$B112*'Teva Payments'!C$26</f>
        <v>716.48176896308837</v>
      </c>
      <c r="F112" s="19">
        <v>733.41</v>
      </c>
      <c r="G112" s="19">
        <f>$B112*'Teva Payments'!E$26</f>
        <v>799.87853687089489</v>
      </c>
      <c r="H112" s="19">
        <f>$B112*'Teva Payments'!F$26</f>
        <v>799.878536870895</v>
      </c>
      <c r="I112" s="19">
        <f>$B112*'Teva Payments'!G$26</f>
        <v>799.878536870895</v>
      </c>
      <c r="J112" s="19">
        <f>$B112*'Teva Payments'!H$26</f>
        <v>799.878536870895</v>
      </c>
      <c r="K112" s="19">
        <f>$B112*'Teva Payments'!I$26</f>
        <v>799.87853683559263</v>
      </c>
      <c r="L112" s="19">
        <f>$B112*'Teva Payments'!J$26</f>
        <v>799.87853683559263</v>
      </c>
      <c r="M112" s="19">
        <f>$B112*'Teva Payments'!K$26</f>
        <v>799.87853683559263</v>
      </c>
      <c r="N112" s="19">
        <f>$B112*'Teva Payments'!L$26</f>
        <v>799.87853683559263</v>
      </c>
      <c r="O112" s="19">
        <f>$B112*'Teva Payments'!M$26</f>
        <v>799.87853683559263</v>
      </c>
      <c r="P112" s="19">
        <f>$B112*'Teva Payments'!N$26</f>
        <v>799.87853683559263</v>
      </c>
      <c r="Q112" s="19">
        <f>$B112*'Teva Payments'!O$26</f>
        <v>799.88572087142961</v>
      </c>
      <c r="R112" s="39" t="s">
        <v>346</v>
      </c>
      <c r="S112" s="7">
        <f t="shared" si="8"/>
        <v>10248.562858331656</v>
      </c>
    </row>
    <row r="113" spans="1:19" x14ac:dyDescent="0.35">
      <c r="A113" s="3" t="s">
        <v>22</v>
      </c>
      <c r="B113" s="16">
        <v>2.8311153863745328E-4</v>
      </c>
      <c r="C113" s="8" t="s">
        <v>143</v>
      </c>
      <c r="D113" s="33" t="str">
        <f t="shared" si="9"/>
        <v>No</v>
      </c>
      <c r="E113" s="19">
        <f>$B113*'Teva Payments'!C$26</f>
        <v>946.88413044459548</v>
      </c>
      <c r="F113" s="19">
        <v>969.25</v>
      </c>
      <c r="G113" s="19">
        <f>$B113*'Teva Payments'!E$26</f>
        <v>1057.0991833363898</v>
      </c>
      <c r="H113" s="19">
        <f>$B113*'Teva Payments'!F$26</f>
        <v>1057.0991833363898</v>
      </c>
      <c r="I113" s="19">
        <f>$B113*'Teva Payments'!G$26</f>
        <v>1057.0991833363898</v>
      </c>
      <c r="J113" s="19">
        <f>$B113*'Teva Payments'!H$26</f>
        <v>1057.0991833363898</v>
      </c>
      <c r="K113" s="19">
        <f>$B113*'Teva Payments'!I$26</f>
        <v>1057.099183289735</v>
      </c>
      <c r="L113" s="19">
        <f>$B113*'Teva Payments'!J$26</f>
        <v>1057.099183289735</v>
      </c>
      <c r="M113" s="19">
        <f>$B113*'Teva Payments'!K$26</f>
        <v>1057.099183289735</v>
      </c>
      <c r="N113" s="19">
        <f>$B113*'Teva Payments'!L$26</f>
        <v>1057.099183289735</v>
      </c>
      <c r="O113" s="19">
        <f>$B113*'Teva Payments'!M$26</f>
        <v>1057.099183289735</v>
      </c>
      <c r="P113" s="19">
        <f>$B113*'Teva Payments'!N$26</f>
        <v>1057.099183289735</v>
      </c>
      <c r="Q113" s="19">
        <f>$B113*'Teva Payments'!O$26</f>
        <v>1057.1086775292556</v>
      </c>
      <c r="R113" s="39" t="s">
        <v>346</v>
      </c>
      <c r="S113" s="7">
        <f t="shared" si="8"/>
        <v>13544.234641057817</v>
      </c>
    </row>
    <row r="114" spans="1:19" x14ac:dyDescent="0.35">
      <c r="A114" s="3" t="s">
        <v>22</v>
      </c>
      <c r="B114" s="16">
        <v>2.0174925054156607E-4</v>
      </c>
      <c r="C114" s="8" t="s">
        <v>144</v>
      </c>
      <c r="D114" s="33" t="str">
        <f t="shared" si="9"/>
        <v>No</v>
      </c>
      <c r="E114" s="19">
        <f>$B114*'Teva Payments'!C$26</f>
        <v>674.76290294028843</v>
      </c>
      <c r="F114" s="19">
        <v>690.7</v>
      </c>
      <c r="G114" s="19">
        <f>$B114*'Teva Payments'!E$26</f>
        <v>753.30369441185496</v>
      </c>
      <c r="H114" s="19">
        <f>$B114*'Teva Payments'!F$26</f>
        <v>753.30369441185508</v>
      </c>
      <c r="I114" s="19">
        <f>$B114*'Teva Payments'!G$26</f>
        <v>753.30369441185508</v>
      </c>
      <c r="J114" s="19">
        <f>$B114*'Teva Payments'!H$26</f>
        <v>753.30369441185508</v>
      </c>
      <c r="K114" s="19">
        <f>$B114*'Teva Payments'!I$26</f>
        <v>753.30369437860827</v>
      </c>
      <c r="L114" s="19">
        <f>$B114*'Teva Payments'!J$26</f>
        <v>753.30369437860827</v>
      </c>
      <c r="M114" s="19">
        <f>$B114*'Teva Payments'!K$26</f>
        <v>753.30369437860827</v>
      </c>
      <c r="N114" s="19">
        <f>$B114*'Teva Payments'!L$26</f>
        <v>753.30369437860827</v>
      </c>
      <c r="O114" s="19">
        <f>$B114*'Teva Payments'!M$26</f>
        <v>753.30369437860827</v>
      </c>
      <c r="P114" s="19">
        <f>$B114*'Teva Payments'!N$26</f>
        <v>753.30369437860827</v>
      </c>
      <c r="Q114" s="19">
        <f>$B114*'Teva Payments'!O$26</f>
        <v>753.31046010676243</v>
      </c>
      <c r="R114" s="39" t="s">
        <v>346</v>
      </c>
      <c r="S114" s="7">
        <f t="shared" si="8"/>
        <v>9651.8103069661211</v>
      </c>
    </row>
    <row r="115" spans="1:19" x14ac:dyDescent="0.35">
      <c r="A115" s="3" t="s">
        <v>60</v>
      </c>
      <c r="B115" s="16">
        <v>3.393032077207899E-4</v>
      </c>
      <c r="C115" s="8" t="s">
        <v>145</v>
      </c>
      <c r="D115" s="33" t="str">
        <f t="shared" si="9"/>
        <v>No</v>
      </c>
      <c r="E115" s="19">
        <f>$B115*'Teva Payments'!C$26</f>
        <v>1134.8206588329401</v>
      </c>
      <c r="F115" s="19">
        <v>1161.6300000000001</v>
      </c>
      <c r="G115" s="19">
        <f>$B115*'Teva Payments'!E$26</f>
        <v>1266.9110750882494</v>
      </c>
      <c r="H115" s="19">
        <f>$B115*'Teva Payments'!F$26</f>
        <v>1266.9110750882496</v>
      </c>
      <c r="I115" s="19">
        <f>$B115*'Teva Payments'!G$26</f>
        <v>1266.9110750882496</v>
      </c>
      <c r="J115" s="19">
        <f>$B115*'Teva Payments'!H$26</f>
        <v>1266.9110750882496</v>
      </c>
      <c r="K115" s="19">
        <f>$B115*'Teva Payments'!I$26</f>
        <v>1266.9110750323348</v>
      </c>
      <c r="L115" s="19">
        <f>$B115*'Teva Payments'!J$26</f>
        <v>1266.9110750323348</v>
      </c>
      <c r="M115" s="19">
        <f>$B115*'Teva Payments'!K$26</f>
        <v>1266.9110750323348</v>
      </c>
      <c r="N115" s="19">
        <f>$B115*'Teva Payments'!L$26</f>
        <v>1266.9110750323348</v>
      </c>
      <c r="O115" s="19">
        <f>$B115*'Teva Payments'!M$26</f>
        <v>1266.9110750323348</v>
      </c>
      <c r="P115" s="19">
        <f>$B115*'Teva Payments'!N$26</f>
        <v>1266.9110750323348</v>
      </c>
      <c r="Q115" s="19">
        <f>$B115*'Teva Payments'!O$26</f>
        <v>1266.9224536781496</v>
      </c>
      <c r="R115" s="39" t="s">
        <v>346</v>
      </c>
      <c r="S115" s="7">
        <f t="shared" si="8"/>
        <v>16232.483863058094</v>
      </c>
    </row>
    <row r="116" spans="1:19" x14ac:dyDescent="0.35">
      <c r="A116" s="3" t="s">
        <v>22</v>
      </c>
      <c r="B116" s="16">
        <v>1.0823453984616879E-3</v>
      </c>
      <c r="C116" s="8" t="s">
        <v>146</v>
      </c>
      <c r="D116" s="33" t="str">
        <f t="shared" si="9"/>
        <v>No</v>
      </c>
      <c r="E116" s="19">
        <f>$B116*'Teva Payments'!C$26</f>
        <v>3619.9714303256051</v>
      </c>
      <c r="F116" s="19">
        <v>3705.49</v>
      </c>
      <c r="G116" s="19">
        <f>$B116*'Teva Payments'!E$26</f>
        <v>4041.3274651688416</v>
      </c>
      <c r="H116" s="19">
        <f>$B116*'Teva Payments'!F$26</f>
        <v>4041.3274651688421</v>
      </c>
      <c r="I116" s="19">
        <f>$B116*'Teva Payments'!G$26</f>
        <v>4041.3274651688421</v>
      </c>
      <c r="J116" s="19">
        <f>$B116*'Teva Payments'!H$26</f>
        <v>4041.3274651688421</v>
      </c>
      <c r="K116" s="19">
        <f>$B116*'Teva Payments'!I$26</f>
        <v>4041.3274649904793</v>
      </c>
      <c r="L116" s="19">
        <f>$B116*'Teva Payments'!J$26</f>
        <v>4041.3274649904793</v>
      </c>
      <c r="M116" s="19">
        <f>$B116*'Teva Payments'!K$26</f>
        <v>4041.3274649904793</v>
      </c>
      <c r="N116" s="19">
        <f>$B116*'Teva Payments'!L$26</f>
        <v>4041.3274649904793</v>
      </c>
      <c r="O116" s="19">
        <f>$B116*'Teva Payments'!M$26</f>
        <v>4041.3274649904793</v>
      </c>
      <c r="P116" s="19">
        <f>$B116*'Teva Payments'!N$26</f>
        <v>4041.3274649904793</v>
      </c>
      <c r="Q116" s="19">
        <f>$B116*'Teva Payments'!O$26</f>
        <v>4041.3637618030584</v>
      </c>
      <c r="R116" s="39" t="s">
        <v>346</v>
      </c>
      <c r="S116" s="7">
        <f t="shared" si="8"/>
        <v>51780.099842746895</v>
      </c>
    </row>
    <row r="117" spans="1:19" x14ac:dyDescent="0.35">
      <c r="A117" s="3" t="s">
        <v>22</v>
      </c>
      <c r="B117" s="16">
        <v>3.0210647514547408E-4</v>
      </c>
      <c r="C117" s="8" t="s">
        <v>147</v>
      </c>
      <c r="D117" s="33" t="str">
        <f t="shared" si="9"/>
        <v>No</v>
      </c>
      <c r="E117" s="19">
        <f>$B117*'Teva Payments'!C$26</f>
        <v>1010.4138757344194</v>
      </c>
      <c r="F117" s="19">
        <v>1034.28</v>
      </c>
      <c r="G117" s="19">
        <f>$B117*'Teva Payments'!E$26</f>
        <v>1128.0236393539483</v>
      </c>
      <c r="H117" s="19">
        <f>$B117*'Teva Payments'!F$26</f>
        <v>1128.0236393539483</v>
      </c>
      <c r="I117" s="19">
        <f>$B117*'Teva Payments'!G$26</f>
        <v>1128.0236393539483</v>
      </c>
      <c r="J117" s="19">
        <f>$B117*'Teva Payments'!H$26</f>
        <v>1128.0236393539483</v>
      </c>
      <c r="K117" s="19">
        <f>$B117*'Teva Payments'!I$26</f>
        <v>1128.0236393041635</v>
      </c>
      <c r="L117" s="19">
        <f>$B117*'Teva Payments'!J$26</f>
        <v>1128.0236393041635</v>
      </c>
      <c r="M117" s="19">
        <f>$B117*'Teva Payments'!K$26</f>
        <v>1128.0236393041635</v>
      </c>
      <c r="N117" s="19">
        <f>$B117*'Teva Payments'!L$26</f>
        <v>1128.0236393041635</v>
      </c>
      <c r="O117" s="19">
        <f>$B117*'Teva Payments'!M$26</f>
        <v>1128.0236393041635</v>
      </c>
      <c r="P117" s="19">
        <f>$B117*'Teva Payments'!N$26</f>
        <v>1128.0236393041635</v>
      </c>
      <c r="Q117" s="19">
        <f>$B117*'Teva Payments'!O$26</f>
        <v>1128.0337705451914</v>
      </c>
      <c r="R117" s="39" t="s">
        <v>346</v>
      </c>
      <c r="S117" s="7">
        <f t="shared" si="8"/>
        <v>14452.964039520382</v>
      </c>
    </row>
    <row r="118" spans="1:19" x14ac:dyDescent="0.35">
      <c r="A118" s="3" t="s">
        <v>75</v>
      </c>
      <c r="B118" s="16">
        <v>1.2420493545600001E-3</v>
      </c>
      <c r="C118" s="8" t="s">
        <v>148</v>
      </c>
      <c r="D118" s="33" t="str">
        <f t="shared" si="9"/>
        <v>No</v>
      </c>
      <c r="E118" s="19">
        <f>$B118*'Teva Payments'!C$26</f>
        <v>4154.1112337631566</v>
      </c>
      <c r="F118" s="19">
        <v>4252.25</v>
      </c>
      <c r="G118" s="19">
        <f>$B118*'Teva Payments'!E$26</f>
        <v>4637.6398669155878</v>
      </c>
      <c r="H118" s="19">
        <f>$B118*'Teva Payments'!F$26</f>
        <v>4637.6398669155888</v>
      </c>
      <c r="I118" s="19">
        <f>$B118*'Teva Payments'!G$26</f>
        <v>4637.6398669155888</v>
      </c>
      <c r="J118" s="19">
        <f>$B118*'Teva Payments'!H$26</f>
        <v>4637.6398669155888</v>
      </c>
      <c r="K118" s="19">
        <f>$B118*'Teva Payments'!I$26</f>
        <v>4637.6398667109079</v>
      </c>
      <c r="L118" s="19">
        <f>$B118*'Teva Payments'!J$26</f>
        <v>4637.6398667109079</v>
      </c>
      <c r="M118" s="19">
        <f>$B118*'Teva Payments'!K$26</f>
        <v>4637.6398667109079</v>
      </c>
      <c r="N118" s="19">
        <f>$B118*'Teva Payments'!L$26</f>
        <v>4637.6398667109079</v>
      </c>
      <c r="O118" s="19">
        <f>$B118*'Teva Payments'!M$26</f>
        <v>4637.6398667109079</v>
      </c>
      <c r="P118" s="19">
        <f>$B118*'Teva Payments'!N$26</f>
        <v>4637.6398667109079</v>
      </c>
      <c r="Q118" s="19">
        <f>$B118*'Teva Payments'!O$26</f>
        <v>4637.6815192487211</v>
      </c>
      <c r="R118" s="39" t="s">
        <v>346</v>
      </c>
      <c r="S118" s="7">
        <f t="shared" si="8"/>
        <v>59420.441420939685</v>
      </c>
    </row>
    <row r="119" spans="1:19" x14ac:dyDescent="0.35">
      <c r="A119" s="3" t="s">
        <v>60</v>
      </c>
      <c r="B119" s="16">
        <v>2.9166464367653667E-6</v>
      </c>
      <c r="C119" s="8" t="s">
        <v>149</v>
      </c>
      <c r="D119" s="33" t="str">
        <f t="shared" si="9"/>
        <v>Yes</v>
      </c>
      <c r="E119" s="19">
        <f>B119*'Teva Payments'!$Q$26</f>
        <v>140.4392378476031</v>
      </c>
      <c r="F119" s="19">
        <v>0</v>
      </c>
      <c r="G119" s="52">
        <f>$B119*'Teva Payments'!E$26</f>
        <v>10.890352901984409</v>
      </c>
      <c r="H119" s="52">
        <f>$B119*'Teva Payments'!F$26</f>
        <v>10.890352901984411</v>
      </c>
      <c r="I119" s="52">
        <f>$B119*'Teva Payments'!G$26</f>
        <v>10.890352901984411</v>
      </c>
      <c r="J119" s="52">
        <f>$B119*'Teva Payments'!H$26</f>
        <v>10.890352901984411</v>
      </c>
      <c r="K119" s="52">
        <f>$B119*'Teva Payments'!I$26</f>
        <v>10.890352901503768</v>
      </c>
      <c r="L119" s="52">
        <f>$B119*'Teva Payments'!J$26</f>
        <v>10.890352901503768</v>
      </c>
      <c r="M119" s="52">
        <f>$B119*'Teva Payments'!K$26</f>
        <v>10.890352901503768</v>
      </c>
      <c r="N119" s="52">
        <f>$B119*'Teva Payments'!L$26</f>
        <v>10.890352901503768</v>
      </c>
      <c r="O119" s="52">
        <f>$B119*'Teva Payments'!M$26</f>
        <v>10.890352901503768</v>
      </c>
      <c r="P119" s="52">
        <f>$B119*'Teva Payments'!N$26</f>
        <v>10.890352901503768</v>
      </c>
      <c r="Q119" s="52">
        <f>$B119*'Teva Payments'!O$26</f>
        <v>10.890450712211168</v>
      </c>
      <c r="R119" s="39" t="s">
        <v>346</v>
      </c>
      <c r="S119" s="7">
        <f>E119</f>
        <v>140.4392378476031</v>
      </c>
    </row>
    <row r="120" spans="1:19" x14ac:dyDescent="0.35">
      <c r="A120" s="3" t="s">
        <v>34</v>
      </c>
      <c r="B120" s="16">
        <v>4.3999575718258014E-4</v>
      </c>
      <c r="C120" s="8" t="s">
        <v>150</v>
      </c>
      <c r="D120" s="33" t="str">
        <f t="shared" si="9"/>
        <v>No</v>
      </c>
      <c r="E120" s="19">
        <f>$B120*'Teva Payments'!C$26</f>
        <v>1471.5931464476976</v>
      </c>
      <c r="F120" s="19">
        <v>1506.36</v>
      </c>
      <c r="G120" s="19">
        <f>$B120*'Teva Payments'!E$26</f>
        <v>1642.8830764994138</v>
      </c>
      <c r="H120" s="19">
        <f>$B120*'Teva Payments'!F$26</f>
        <v>1642.8830764994141</v>
      </c>
      <c r="I120" s="19">
        <f>$B120*'Teva Payments'!G$26</f>
        <v>1642.8830764994141</v>
      </c>
      <c r="J120" s="19">
        <f>$B120*'Teva Payments'!H$26</f>
        <v>1642.8830764994141</v>
      </c>
      <c r="K120" s="19">
        <f>$B120*'Teva Payments'!I$26</f>
        <v>1642.883076426906</v>
      </c>
      <c r="L120" s="19">
        <f>$B120*'Teva Payments'!J$26</f>
        <v>1642.883076426906</v>
      </c>
      <c r="M120" s="19">
        <f>$B120*'Teva Payments'!K$26</f>
        <v>1642.883076426906</v>
      </c>
      <c r="N120" s="19">
        <f>$B120*'Teva Payments'!L$26</f>
        <v>1642.883076426906</v>
      </c>
      <c r="O120" s="19">
        <f>$B120*'Teva Payments'!M$26</f>
        <v>1642.883076426906</v>
      </c>
      <c r="P120" s="19">
        <f>$B120*'Teva Payments'!N$26</f>
        <v>1642.883076426906</v>
      </c>
      <c r="Q120" s="19">
        <f>$B120*'Teva Payments'!O$26</f>
        <v>1642.8978318308248</v>
      </c>
      <c r="R120" s="39" t="s">
        <v>346</v>
      </c>
      <c r="S120" s="7">
        <f t="shared" si="8"/>
        <v>21049.68174283762</v>
      </c>
    </row>
    <row r="121" spans="1:19" x14ac:dyDescent="0.35">
      <c r="A121" s="3" t="s">
        <v>34</v>
      </c>
      <c r="B121" s="16">
        <v>1.7590962745185068E-4</v>
      </c>
      <c r="C121" s="8" t="s">
        <v>151</v>
      </c>
      <c r="D121" s="33" t="str">
        <f t="shared" si="9"/>
        <v>No</v>
      </c>
      <c r="E121" s="19">
        <f>$B121*'Teva Payments'!C$26</f>
        <v>588.34067812361172</v>
      </c>
      <c r="F121" s="19">
        <v>602.24</v>
      </c>
      <c r="G121" s="19">
        <f>$B121*'Teva Payments'!E$26</f>
        <v>656.82212888711899</v>
      </c>
      <c r="H121" s="19">
        <f>$B121*'Teva Payments'!F$26</f>
        <v>656.82212888711911</v>
      </c>
      <c r="I121" s="19">
        <f>$B121*'Teva Payments'!G$26</f>
        <v>656.82212888711911</v>
      </c>
      <c r="J121" s="19">
        <f>$B121*'Teva Payments'!H$26</f>
        <v>656.82212888711911</v>
      </c>
      <c r="K121" s="19">
        <f>$B121*'Teva Payments'!I$26</f>
        <v>656.82212885813044</v>
      </c>
      <c r="L121" s="19">
        <f>$B121*'Teva Payments'!J$26</f>
        <v>656.82212885813044</v>
      </c>
      <c r="M121" s="19">
        <f>$B121*'Teva Payments'!K$26</f>
        <v>656.82212885813044</v>
      </c>
      <c r="N121" s="19">
        <f>$B121*'Teva Payments'!L$26</f>
        <v>656.82212885813044</v>
      </c>
      <c r="O121" s="19">
        <f>$B121*'Teva Payments'!M$26</f>
        <v>656.82212885813044</v>
      </c>
      <c r="P121" s="19">
        <f>$B121*'Teva Payments'!N$26</f>
        <v>656.82212885813044</v>
      </c>
      <c r="Q121" s="19">
        <f>$B121*'Teva Payments'!O$26</f>
        <v>656.82802804593837</v>
      </c>
      <c r="R121" s="39" t="s">
        <v>346</v>
      </c>
      <c r="S121" s="7">
        <f t="shared" si="8"/>
        <v>8415.6299948668111</v>
      </c>
    </row>
    <row r="122" spans="1:19" x14ac:dyDescent="0.35">
      <c r="A122" s="3" t="s">
        <v>22</v>
      </c>
      <c r="B122" s="16">
        <v>2.339422737512214E-4</v>
      </c>
      <c r="C122" s="8" t="s">
        <v>152</v>
      </c>
      <c r="D122" s="33" t="str">
        <f t="shared" si="9"/>
        <v>No</v>
      </c>
      <c r="E122" s="19">
        <f>$B122*'Teva Payments'!C$26</f>
        <v>782.43446918928248</v>
      </c>
      <c r="F122" s="19">
        <v>800.92</v>
      </c>
      <c r="G122" s="19">
        <f>$B122*'Teva Payments'!E$26</f>
        <v>873.5079739966435</v>
      </c>
      <c r="H122" s="19">
        <f>$B122*'Teva Payments'!F$26</f>
        <v>873.50797399664361</v>
      </c>
      <c r="I122" s="19">
        <f>$B122*'Teva Payments'!G$26</f>
        <v>873.50797399664361</v>
      </c>
      <c r="J122" s="19">
        <f>$B122*'Teva Payments'!H$26</f>
        <v>873.50797399664361</v>
      </c>
      <c r="K122" s="19">
        <f>$B122*'Teva Payments'!I$26</f>
        <v>873.50797395809161</v>
      </c>
      <c r="L122" s="19">
        <f>$B122*'Teva Payments'!J$26</f>
        <v>873.50797395809161</v>
      </c>
      <c r="M122" s="19">
        <f>$B122*'Teva Payments'!K$26</f>
        <v>873.50797395809161</v>
      </c>
      <c r="N122" s="19">
        <f>$B122*'Teva Payments'!L$26</f>
        <v>873.50797395809161</v>
      </c>
      <c r="O122" s="19">
        <f>$B122*'Teva Payments'!M$26</f>
        <v>873.50797395809161</v>
      </c>
      <c r="P122" s="19">
        <f>$B122*'Teva Payments'!N$26</f>
        <v>873.50797395809161</v>
      </c>
      <c r="Q122" s="19">
        <f>$B122*'Teva Payments'!O$26</f>
        <v>873.51581928997621</v>
      </c>
      <c r="R122" s="39" t="s">
        <v>346</v>
      </c>
      <c r="S122" s="7">
        <f t="shared" si="8"/>
        <v>11191.950028214384</v>
      </c>
    </row>
    <row r="123" spans="1:19" x14ac:dyDescent="0.35">
      <c r="A123" s="3" t="s">
        <v>153</v>
      </c>
      <c r="B123" s="16">
        <v>4.1796783504000007E-3</v>
      </c>
      <c r="C123" s="8" t="s">
        <v>153</v>
      </c>
      <c r="D123" s="33" t="str">
        <f t="shared" si="9"/>
        <v>No</v>
      </c>
      <c r="E123" s="19">
        <f>$B123*'Teva Payments'!C$26</f>
        <v>13979.193922663522</v>
      </c>
      <c r="F123" s="19">
        <v>14309.45</v>
      </c>
      <c r="G123" s="19">
        <f>$B123*'Teva Payments'!E$26</f>
        <v>15606.338731656771</v>
      </c>
      <c r="H123" s="19">
        <f>$B123*'Teva Payments'!F$26</f>
        <v>15606.338731656773</v>
      </c>
      <c r="I123" s="19">
        <f>$B123*'Teva Payments'!G$26</f>
        <v>15606.338731656773</v>
      </c>
      <c r="J123" s="19">
        <f>$B123*'Teva Payments'!H$26</f>
        <v>15606.338731656773</v>
      </c>
      <c r="K123" s="19">
        <f>$B123*'Teva Payments'!I$26</f>
        <v>15606.338730967991</v>
      </c>
      <c r="L123" s="19">
        <f>$B123*'Teva Payments'!J$26</f>
        <v>15606.338730967991</v>
      </c>
      <c r="M123" s="19">
        <f>$B123*'Teva Payments'!K$26</f>
        <v>15606.338730967991</v>
      </c>
      <c r="N123" s="19">
        <f>$B123*'Teva Payments'!L$26</f>
        <v>15606.338730967991</v>
      </c>
      <c r="O123" s="19">
        <f>$B123*'Teva Payments'!M$26</f>
        <v>15606.338730967991</v>
      </c>
      <c r="P123" s="19">
        <f>$B123*'Teva Payments'!N$26</f>
        <v>15606.338730967991</v>
      </c>
      <c r="Q123" s="19">
        <f>$B123*'Teva Payments'!O$26</f>
        <v>15606.478897870296</v>
      </c>
      <c r="R123" s="39" t="s">
        <v>346</v>
      </c>
      <c r="S123" s="7">
        <f t="shared" si="8"/>
        <v>199958.51013296883</v>
      </c>
    </row>
    <row r="124" spans="1:19" x14ac:dyDescent="0.35">
      <c r="A124" s="3" t="s">
        <v>24</v>
      </c>
      <c r="B124" s="16">
        <v>1.7432722105140133E-4</v>
      </c>
      <c r="C124" s="8" t="s">
        <v>154</v>
      </c>
      <c r="D124" s="33" t="str">
        <f t="shared" si="9"/>
        <v>No</v>
      </c>
      <c r="E124" s="19">
        <f>$B124*'Teva Payments'!C$26</f>
        <v>583.04822160378683</v>
      </c>
      <c r="F124" s="19">
        <v>596.82000000000005</v>
      </c>
      <c r="G124" s="19">
        <f>$B124*'Teva Payments'!E$26</f>
        <v>650.91364305968909</v>
      </c>
      <c r="H124" s="19">
        <f>$B124*'Teva Payments'!F$26</f>
        <v>650.91364305968921</v>
      </c>
      <c r="I124" s="19">
        <f>$B124*'Teva Payments'!G$26</f>
        <v>650.91364305968921</v>
      </c>
      <c r="J124" s="19">
        <f>$B124*'Teva Payments'!H$26</f>
        <v>650.91364305968921</v>
      </c>
      <c r="K124" s="19">
        <f>$B124*'Teva Payments'!I$26</f>
        <v>650.91364303096134</v>
      </c>
      <c r="L124" s="19">
        <f>$B124*'Teva Payments'!J$26</f>
        <v>650.91364303096134</v>
      </c>
      <c r="M124" s="19">
        <f>$B124*'Teva Payments'!K$26</f>
        <v>650.91364303096134</v>
      </c>
      <c r="N124" s="19">
        <f>$B124*'Teva Payments'!L$26</f>
        <v>650.91364303096134</v>
      </c>
      <c r="O124" s="19">
        <f>$B124*'Teva Payments'!M$26</f>
        <v>650.91364303096134</v>
      </c>
      <c r="P124" s="19">
        <f>$B124*'Teva Payments'!N$26</f>
        <v>650.91364303096134</v>
      </c>
      <c r="Q124" s="19">
        <f>$B124*'Teva Payments'!O$26</f>
        <v>650.91948915224475</v>
      </c>
      <c r="R124" s="39" t="s">
        <v>346</v>
      </c>
      <c r="S124" s="7">
        <f t="shared" si="8"/>
        <v>8339.9241411805524</v>
      </c>
    </row>
    <row r="125" spans="1:19" x14ac:dyDescent="0.35">
      <c r="A125" s="3" t="s">
        <v>155</v>
      </c>
      <c r="B125" s="16">
        <v>9.8946865237466131E-4</v>
      </c>
      <c r="C125" s="8" t="s">
        <v>156</v>
      </c>
      <c r="D125" s="33" t="str">
        <f t="shared" si="9"/>
        <v>No</v>
      </c>
      <c r="E125" s="19">
        <f>$B125*'Teva Payments'!C$26</f>
        <v>3309.3393826867546</v>
      </c>
      <c r="F125" s="19">
        <v>3387.52</v>
      </c>
      <c r="G125" s="19">
        <f>$B125*'Teva Payments'!E$26</f>
        <v>3694.5385885583964</v>
      </c>
      <c r="H125" s="19">
        <f>$B125*'Teva Payments'!F$26</f>
        <v>3694.5385885583969</v>
      </c>
      <c r="I125" s="19">
        <f>$B125*'Teva Payments'!G$26</f>
        <v>3694.5385885583969</v>
      </c>
      <c r="J125" s="19">
        <f>$B125*'Teva Payments'!H$26</f>
        <v>3694.5385885583969</v>
      </c>
      <c r="K125" s="19">
        <f>$B125*'Teva Payments'!I$26</f>
        <v>3694.5385883953395</v>
      </c>
      <c r="L125" s="19">
        <f>$B125*'Teva Payments'!J$26</f>
        <v>3694.5385883953395</v>
      </c>
      <c r="M125" s="19">
        <f>$B125*'Teva Payments'!K$26</f>
        <v>3694.5385883953395</v>
      </c>
      <c r="N125" s="19">
        <f>$B125*'Teva Payments'!L$26</f>
        <v>3694.5385883953395</v>
      </c>
      <c r="O125" s="19">
        <f>$B125*'Teva Payments'!M$26</f>
        <v>3694.5385883953395</v>
      </c>
      <c r="P125" s="19">
        <f>$B125*'Teva Payments'!N$26</f>
        <v>3694.5385883953395</v>
      </c>
      <c r="Q125" s="19">
        <f>$B125*'Teva Payments'!O$26</f>
        <v>3694.571770555378</v>
      </c>
      <c r="R125" s="39" t="s">
        <v>346</v>
      </c>
      <c r="S125" s="7">
        <f t="shared" si="8"/>
        <v>47336.817037847759</v>
      </c>
    </row>
    <row r="126" spans="1:19" x14ac:dyDescent="0.35">
      <c r="A126" s="3" t="s">
        <v>34</v>
      </c>
      <c r="B126" s="16">
        <v>2.4496551937617135E-5</v>
      </c>
      <c r="C126" s="8" t="s">
        <v>157</v>
      </c>
      <c r="D126" s="33" t="str">
        <f t="shared" si="9"/>
        <v>Yes</v>
      </c>
      <c r="E126" s="19">
        <f>B126*'Teva Payments'!$Q$26</f>
        <v>1179.5317528539827</v>
      </c>
      <c r="F126" s="19">
        <v>0</v>
      </c>
      <c r="G126" s="52">
        <f>$B126*'Teva Payments'!E$26</f>
        <v>91.46672428979835</v>
      </c>
      <c r="H126" s="52">
        <f>$B126*'Teva Payments'!F$26</f>
        <v>91.46672428979835</v>
      </c>
      <c r="I126" s="52">
        <f>$B126*'Teva Payments'!G$26</f>
        <v>91.46672428979835</v>
      </c>
      <c r="J126" s="52">
        <f>$B126*'Teva Payments'!H$26</f>
        <v>91.46672428979835</v>
      </c>
      <c r="K126" s="52">
        <f>$B126*'Teva Payments'!I$26</f>
        <v>91.466724285761501</v>
      </c>
      <c r="L126" s="52">
        <f>$B126*'Teva Payments'!J$26</f>
        <v>91.466724285761501</v>
      </c>
      <c r="M126" s="52">
        <f>$B126*'Teva Payments'!K$26</f>
        <v>91.466724285761501</v>
      </c>
      <c r="N126" s="52">
        <f>$B126*'Teva Payments'!L$26</f>
        <v>91.466724285761501</v>
      </c>
      <c r="O126" s="52">
        <f>$B126*'Teva Payments'!M$26</f>
        <v>91.466724285761501</v>
      </c>
      <c r="P126" s="52">
        <f>$B126*'Teva Payments'!N$26</f>
        <v>91.466724285761501</v>
      </c>
      <c r="Q126" s="52">
        <f>$B126*'Teva Payments'!O$26</f>
        <v>91.46754578577044</v>
      </c>
      <c r="R126" s="39" t="s">
        <v>346</v>
      </c>
      <c r="S126" s="7">
        <f>E126</f>
        <v>1179.5317528539827</v>
      </c>
    </row>
    <row r="127" spans="1:19" x14ac:dyDescent="0.35">
      <c r="A127" s="3" t="s">
        <v>158</v>
      </c>
      <c r="B127" s="16">
        <v>2.4927201566399999E-3</v>
      </c>
      <c r="C127" s="8" t="s">
        <v>158</v>
      </c>
      <c r="D127" s="33" t="str">
        <f t="shared" si="9"/>
        <v>No</v>
      </c>
      <c r="E127" s="19">
        <f>$B127*'Teva Payments'!C$26</f>
        <v>8337.0574343999269</v>
      </c>
      <c r="F127" s="19">
        <v>8534.02</v>
      </c>
      <c r="G127" s="19">
        <f>$B127*'Teva Payments'!E$26</f>
        <v>9307.471022029571</v>
      </c>
      <c r="H127" s="19">
        <f>$B127*'Teva Payments'!F$26</f>
        <v>9307.471022029571</v>
      </c>
      <c r="I127" s="19">
        <f>$B127*'Teva Payments'!G$26</f>
        <v>9307.471022029571</v>
      </c>
      <c r="J127" s="19">
        <f>$B127*'Teva Payments'!H$26</f>
        <v>9307.471022029571</v>
      </c>
      <c r="K127" s="19">
        <f>$B127*'Teva Payments'!I$26</f>
        <v>9307.4710216187887</v>
      </c>
      <c r="L127" s="19">
        <f>$B127*'Teva Payments'!J$26</f>
        <v>9307.4710216187887</v>
      </c>
      <c r="M127" s="19">
        <f>$B127*'Teva Payments'!K$26</f>
        <v>9307.4710216187887</v>
      </c>
      <c r="N127" s="19">
        <f>$B127*'Teva Payments'!L$26</f>
        <v>9307.4710216187887</v>
      </c>
      <c r="O127" s="19">
        <f>$B127*'Teva Payments'!M$26</f>
        <v>9307.4710216187887</v>
      </c>
      <c r="P127" s="19">
        <f>$B127*'Teva Payments'!N$26</f>
        <v>9307.4710216187887</v>
      </c>
      <c r="Q127" s="19">
        <f>$B127*'Teva Payments'!O$26</f>
        <v>9307.5546158175239</v>
      </c>
      <c r="R127" s="39" t="s">
        <v>346</v>
      </c>
      <c r="S127" s="7">
        <f t="shared" si="8"/>
        <v>119253.34226804844</v>
      </c>
    </row>
    <row r="128" spans="1:19" x14ac:dyDescent="0.35">
      <c r="A128" s="3" t="s">
        <v>22</v>
      </c>
      <c r="B128" s="16">
        <v>4.0472692288000007E-4</v>
      </c>
      <c r="C128" s="8" t="s">
        <v>159</v>
      </c>
      <c r="D128" s="33" t="str">
        <f t="shared" si="9"/>
        <v>No</v>
      </c>
      <c r="E128" s="19">
        <f>$B128*'Teva Payments'!C$26</f>
        <v>1353.6343389009708</v>
      </c>
      <c r="F128" s="19">
        <v>1385.61</v>
      </c>
      <c r="G128" s="19">
        <f>$B128*'Teva Payments'!E$26</f>
        <v>1511.1941452819999</v>
      </c>
      <c r="H128" s="19">
        <f>$B128*'Teva Payments'!F$26</f>
        <v>1511.1941452819999</v>
      </c>
      <c r="I128" s="19">
        <f>$B128*'Teva Payments'!G$26</f>
        <v>1511.1941452819999</v>
      </c>
      <c r="J128" s="19">
        <f>$B128*'Teva Payments'!H$26</f>
        <v>1511.1941452819999</v>
      </c>
      <c r="K128" s="19">
        <f>$B128*'Teva Payments'!I$26</f>
        <v>1511.1941452153039</v>
      </c>
      <c r="L128" s="19">
        <f>$B128*'Teva Payments'!J$26</f>
        <v>1511.1941452153039</v>
      </c>
      <c r="M128" s="19">
        <f>$B128*'Teva Payments'!K$26</f>
        <v>1511.1941452153039</v>
      </c>
      <c r="N128" s="19">
        <f>$B128*'Teva Payments'!L$26</f>
        <v>1511.1941452153039</v>
      </c>
      <c r="O128" s="19">
        <f>$B128*'Teva Payments'!M$26</f>
        <v>1511.1941452153039</v>
      </c>
      <c r="P128" s="19">
        <f>$B128*'Teva Payments'!N$26</f>
        <v>1511.1941452153039</v>
      </c>
      <c r="Q128" s="19">
        <f>$B128*'Teva Payments'!O$26</f>
        <v>1511.2077178671454</v>
      </c>
      <c r="R128" s="39" t="s">
        <v>346</v>
      </c>
      <c r="S128" s="7">
        <f t="shared" si="8"/>
        <v>19362.393509187939</v>
      </c>
    </row>
    <row r="129" spans="1:19" x14ac:dyDescent="0.35">
      <c r="A129" s="3" t="s">
        <v>160</v>
      </c>
      <c r="B129" s="16">
        <v>1.7506615174257315E-3</v>
      </c>
      <c r="C129" s="8" t="s">
        <v>160</v>
      </c>
      <c r="D129" s="33" t="str">
        <f t="shared" si="9"/>
        <v>No</v>
      </c>
      <c r="E129" s="19">
        <f>$B129*'Teva Payments'!C$26</f>
        <v>5855.1962120952685</v>
      </c>
      <c r="F129" s="19">
        <v>5993.52</v>
      </c>
      <c r="G129" s="19">
        <f>$B129*'Teva Payments'!E$26</f>
        <v>6536.7270768114286</v>
      </c>
      <c r="H129" s="19">
        <f>$B129*'Teva Payments'!F$26</f>
        <v>6536.7270768114286</v>
      </c>
      <c r="I129" s="19">
        <f>$B129*'Teva Payments'!G$26</f>
        <v>6536.7270768114286</v>
      </c>
      <c r="J129" s="19">
        <f>$B129*'Teva Payments'!H$26</f>
        <v>6536.7270768114286</v>
      </c>
      <c r="K129" s="19">
        <f>$B129*'Teva Payments'!I$26</f>
        <v>6536.7270765229323</v>
      </c>
      <c r="L129" s="19">
        <f>$B129*'Teva Payments'!J$26</f>
        <v>6536.7270765229323</v>
      </c>
      <c r="M129" s="19">
        <f>$B129*'Teva Payments'!K$26</f>
        <v>6536.7270765229323</v>
      </c>
      <c r="N129" s="19">
        <f>$B129*'Teva Payments'!L$26</f>
        <v>6536.7270765229323</v>
      </c>
      <c r="O129" s="19">
        <f>$B129*'Teva Payments'!M$26</f>
        <v>6536.7270765229323</v>
      </c>
      <c r="P129" s="19">
        <f>$B129*'Teva Payments'!N$26</f>
        <v>6536.7270765229323</v>
      </c>
      <c r="Q129" s="19">
        <f>$B129*'Teva Payments'!O$26</f>
        <v>6536.7857855386292</v>
      </c>
      <c r="R129" s="39" t="s">
        <v>346</v>
      </c>
      <c r="S129" s="7">
        <f t="shared" si="8"/>
        <v>83752.772764017209</v>
      </c>
    </row>
    <row r="130" spans="1:19" x14ac:dyDescent="0.35">
      <c r="A130" s="3" t="s">
        <v>34</v>
      </c>
      <c r="B130" s="16">
        <v>4.9320093758848142E-4</v>
      </c>
      <c r="C130" s="8" t="s">
        <v>161</v>
      </c>
      <c r="D130" s="33" t="str">
        <f t="shared" si="9"/>
        <v>No</v>
      </c>
      <c r="E130" s="19">
        <f>$B130*'Teva Payments'!C$26</f>
        <v>1649.541177906437</v>
      </c>
      <c r="F130" s="19">
        <v>1688.51</v>
      </c>
      <c r="G130" s="19">
        <f>$B130*'Teva Payments'!E$26</f>
        <v>1841.5438341182241</v>
      </c>
      <c r="H130" s="19">
        <f>$B130*'Teva Payments'!F$26</f>
        <v>1841.5438341182244</v>
      </c>
      <c r="I130" s="19">
        <f>$B130*'Teva Payments'!G$26</f>
        <v>1841.5438341182244</v>
      </c>
      <c r="J130" s="19">
        <f>$B130*'Teva Payments'!H$26</f>
        <v>1841.5438341182244</v>
      </c>
      <c r="K130" s="19">
        <f>$B130*'Teva Payments'!I$26</f>
        <v>1841.5438340369483</v>
      </c>
      <c r="L130" s="19">
        <f>$B130*'Teva Payments'!J$26</f>
        <v>1841.5438340369483</v>
      </c>
      <c r="M130" s="19">
        <f>$B130*'Teva Payments'!K$26</f>
        <v>1841.5438340369483</v>
      </c>
      <c r="N130" s="19">
        <f>$B130*'Teva Payments'!L$26</f>
        <v>1841.5438340369483</v>
      </c>
      <c r="O130" s="19">
        <f>$B130*'Teva Payments'!M$26</f>
        <v>1841.5438340369483</v>
      </c>
      <c r="P130" s="19">
        <f>$B130*'Teva Payments'!N$26</f>
        <v>1841.5438340369483</v>
      </c>
      <c r="Q130" s="19">
        <f>$B130*'Teva Payments'!O$26</f>
        <v>1841.5603736942712</v>
      </c>
      <c r="R130" s="39" t="s">
        <v>346</v>
      </c>
      <c r="S130" s="7">
        <f t="shared" si="8"/>
        <v>23595.04989229529</v>
      </c>
    </row>
    <row r="131" spans="1:19" x14ac:dyDescent="0.35">
      <c r="A131" s="3" t="s">
        <v>90</v>
      </c>
      <c r="B131" s="16">
        <v>2.3910807429600001E-2</v>
      </c>
      <c r="C131" s="8" t="s">
        <v>90</v>
      </c>
      <c r="D131" s="33" t="str">
        <f t="shared" si="9"/>
        <v>No</v>
      </c>
      <c r="E131" s="19">
        <f>$B131*'Teva Payments'!C$26</f>
        <v>79971.181005795239</v>
      </c>
      <c r="F131" s="19">
        <v>81860.47</v>
      </c>
      <c r="G131" s="19">
        <f>$B131*'Teva Payments'!E$26</f>
        <v>89279.635610726138</v>
      </c>
      <c r="H131" s="19">
        <f>$B131*'Teva Payments'!F$26</f>
        <v>89279.635610726138</v>
      </c>
      <c r="I131" s="19">
        <f>$B131*'Teva Payments'!G$26</f>
        <v>89279.635610726138</v>
      </c>
      <c r="J131" s="19">
        <f>$B131*'Teva Payments'!H$26</f>
        <v>89279.635610726138</v>
      </c>
      <c r="K131" s="19">
        <f>$B131*'Teva Payments'!I$26</f>
        <v>89279.635606785814</v>
      </c>
      <c r="L131" s="19">
        <f>$B131*'Teva Payments'!J$26</f>
        <v>89279.635606785814</v>
      </c>
      <c r="M131" s="19">
        <f>$B131*'Teva Payments'!K$26</f>
        <v>89279.635606785814</v>
      </c>
      <c r="N131" s="19">
        <f>$B131*'Teva Payments'!L$26</f>
        <v>89279.635606785814</v>
      </c>
      <c r="O131" s="19">
        <f>$B131*'Teva Payments'!M$26</f>
        <v>89279.635606785814</v>
      </c>
      <c r="P131" s="19">
        <f>$B131*'Teva Payments'!N$26</f>
        <v>89279.635606785814</v>
      </c>
      <c r="Q131" s="19">
        <f>$B131*'Teva Payments'!O$26</f>
        <v>89280.437463658047</v>
      </c>
      <c r="R131" s="39" t="s">
        <v>346</v>
      </c>
      <c r="S131" s="7">
        <f t="shared" si="8"/>
        <v>1143908.4445530726</v>
      </c>
    </row>
    <row r="132" spans="1:19" x14ac:dyDescent="0.35">
      <c r="A132" s="3" t="s">
        <v>22</v>
      </c>
      <c r="B132" s="16">
        <v>9.9756728509450506E-4</v>
      </c>
      <c r="C132" s="8" t="s">
        <v>162</v>
      </c>
      <c r="D132" s="33" t="str">
        <f t="shared" si="9"/>
        <v>No</v>
      </c>
      <c r="E132" s="19">
        <f>$B132*'Teva Payments'!C$26</f>
        <v>3336.425762979221</v>
      </c>
      <c r="F132" s="19">
        <v>3415.25</v>
      </c>
      <c r="G132" s="19">
        <f>$B132*'Teva Payments'!E$26</f>
        <v>3724.7777588708836</v>
      </c>
      <c r="H132" s="19">
        <f>$B132*'Teva Payments'!F$26</f>
        <v>3724.7777588708841</v>
      </c>
      <c r="I132" s="19">
        <f>$B132*'Teva Payments'!G$26</f>
        <v>3724.7777588708841</v>
      </c>
      <c r="J132" s="19">
        <f>$B132*'Teva Payments'!H$26</f>
        <v>3724.7777588708841</v>
      </c>
      <c r="K132" s="19">
        <f>$B132*'Teva Payments'!I$26</f>
        <v>3724.777758706492</v>
      </c>
      <c r="L132" s="19">
        <f>$B132*'Teva Payments'!J$26</f>
        <v>3724.777758706492</v>
      </c>
      <c r="M132" s="19">
        <f>$B132*'Teva Payments'!K$26</f>
        <v>3724.777758706492</v>
      </c>
      <c r="N132" s="19">
        <f>$B132*'Teva Payments'!L$26</f>
        <v>3724.777758706492</v>
      </c>
      <c r="O132" s="19">
        <f>$B132*'Teva Payments'!M$26</f>
        <v>3724.777758706492</v>
      </c>
      <c r="P132" s="19">
        <f>$B132*'Teva Payments'!N$26</f>
        <v>3724.777758706492</v>
      </c>
      <c r="Q132" s="19">
        <f>$B132*'Teva Payments'!O$26</f>
        <v>3724.8112124568697</v>
      </c>
      <c r="R132" s="39" t="s">
        <v>346</v>
      </c>
      <c r="S132" s="7">
        <f t="shared" ref="S132:S195" si="10">SUM(E132:R132)</f>
        <v>47724.264563158584</v>
      </c>
    </row>
    <row r="133" spans="1:19" x14ac:dyDescent="0.35">
      <c r="A133" s="3" t="s">
        <v>163</v>
      </c>
      <c r="B133" s="16">
        <v>2.684628549727351E-4</v>
      </c>
      <c r="C133" s="8" t="s">
        <v>164</v>
      </c>
      <c r="D133" s="33" t="str">
        <f t="shared" si="9"/>
        <v>No</v>
      </c>
      <c r="E133" s="19">
        <f>$B133*'Teva Payments'!C$26</f>
        <v>897.89069781807495</v>
      </c>
      <c r="F133" s="19">
        <v>919.1</v>
      </c>
      <c r="G133" s="19">
        <f>$B133*'Teva Payments'!E$26</f>
        <v>1002.4030320828847</v>
      </c>
      <c r="H133" s="19">
        <f>$B133*'Teva Payments'!F$26</f>
        <v>1002.4030320828848</v>
      </c>
      <c r="I133" s="19">
        <f>$B133*'Teva Payments'!G$26</f>
        <v>1002.4030320828848</v>
      </c>
      <c r="J133" s="19">
        <f>$B133*'Teva Payments'!H$26</f>
        <v>1002.4030320828848</v>
      </c>
      <c r="K133" s="19">
        <f>$B133*'Teva Payments'!I$26</f>
        <v>1002.403032038644</v>
      </c>
      <c r="L133" s="19">
        <f>$B133*'Teva Payments'!J$26</f>
        <v>1002.403032038644</v>
      </c>
      <c r="M133" s="19">
        <f>$B133*'Teva Payments'!K$26</f>
        <v>1002.403032038644</v>
      </c>
      <c r="N133" s="19">
        <f>$B133*'Teva Payments'!L$26</f>
        <v>1002.403032038644</v>
      </c>
      <c r="O133" s="19">
        <f>$B133*'Teva Payments'!M$26</f>
        <v>1002.403032038644</v>
      </c>
      <c r="P133" s="19">
        <f>$B133*'Teva Payments'!N$26</f>
        <v>1002.403032038644</v>
      </c>
      <c r="Q133" s="19">
        <f>$B133*'Teva Payments'!O$26</f>
        <v>1002.4120350296904</v>
      </c>
      <c r="R133" s="39" t="s">
        <v>346</v>
      </c>
      <c r="S133" s="7">
        <f t="shared" si="10"/>
        <v>12843.43305341117</v>
      </c>
    </row>
    <row r="134" spans="1:19" x14ac:dyDescent="0.35">
      <c r="A134" s="3" t="s">
        <v>163</v>
      </c>
      <c r="B134" s="16">
        <v>5.4943125126400002E-3</v>
      </c>
      <c r="C134" s="8" t="s">
        <v>163</v>
      </c>
      <c r="D134" s="33" t="str">
        <f t="shared" si="9"/>
        <v>No</v>
      </c>
      <c r="E134" s="19">
        <f>$B134*'Teva Payments'!C$26</f>
        <v>18376.069555342889</v>
      </c>
      <c r="F134" s="19">
        <v>18810.2</v>
      </c>
      <c r="G134" s="19">
        <f>$B134*'Teva Payments'!E$26</f>
        <v>20515.000194125954</v>
      </c>
      <c r="H134" s="19">
        <f>$B134*'Teva Payments'!F$26</f>
        <v>20515.000194125958</v>
      </c>
      <c r="I134" s="19">
        <f>$B134*'Teva Payments'!G$26</f>
        <v>20515.000194125958</v>
      </c>
      <c r="J134" s="19">
        <f>$B134*'Teva Payments'!H$26</f>
        <v>20515.000194125958</v>
      </c>
      <c r="K134" s="19">
        <f>$B134*'Teva Payments'!I$26</f>
        <v>20515.000193220534</v>
      </c>
      <c r="L134" s="19">
        <f>$B134*'Teva Payments'!J$26</f>
        <v>20515.000193220534</v>
      </c>
      <c r="M134" s="19">
        <f>$B134*'Teva Payments'!K$26</f>
        <v>20515.000193220534</v>
      </c>
      <c r="N134" s="19">
        <f>$B134*'Teva Payments'!L$26</f>
        <v>20515.000193220534</v>
      </c>
      <c r="O134" s="19">
        <f>$B134*'Teva Payments'!M$26</f>
        <v>20515.000193220534</v>
      </c>
      <c r="P134" s="19">
        <f>$B134*'Teva Payments'!N$26</f>
        <v>20515.000193220534</v>
      </c>
      <c r="Q134" s="19">
        <f>$B134*'Teva Payments'!O$26</f>
        <v>20515.184446816296</v>
      </c>
      <c r="R134" s="39" t="s">
        <v>346</v>
      </c>
      <c r="S134" s="7">
        <f t="shared" si="10"/>
        <v>262851.4559379862</v>
      </c>
    </row>
    <row r="135" spans="1:19" x14ac:dyDescent="0.35">
      <c r="A135" s="3" t="s">
        <v>165</v>
      </c>
      <c r="B135" s="16">
        <v>3.5979730057600005E-3</v>
      </c>
      <c r="C135" s="8" t="s">
        <v>165</v>
      </c>
      <c r="D135" s="33" t="str">
        <f t="shared" si="9"/>
        <v>No</v>
      </c>
      <c r="E135" s="19">
        <f>$B135*'Teva Payments'!C$26</f>
        <v>12033.64425667208</v>
      </c>
      <c r="F135" s="19">
        <v>12317.93</v>
      </c>
      <c r="G135" s="19">
        <f>$B135*'Teva Payments'!E$26</f>
        <v>13434.331727912528</v>
      </c>
      <c r="H135" s="19">
        <f>$B135*'Teva Payments'!F$26</f>
        <v>13434.331727912529</v>
      </c>
      <c r="I135" s="19">
        <f>$B135*'Teva Payments'!G$26</f>
        <v>13434.331727912529</v>
      </c>
      <c r="J135" s="19">
        <f>$B135*'Teva Payments'!H$26</f>
        <v>13434.331727912529</v>
      </c>
      <c r="K135" s="19">
        <f>$B135*'Teva Payments'!I$26</f>
        <v>13434.33172731961</v>
      </c>
      <c r="L135" s="19">
        <f>$B135*'Teva Payments'!J$26</f>
        <v>13434.33172731961</v>
      </c>
      <c r="M135" s="19">
        <f>$B135*'Teva Payments'!K$26</f>
        <v>13434.33172731961</v>
      </c>
      <c r="N135" s="19">
        <f>$B135*'Teva Payments'!L$26</f>
        <v>13434.33172731961</v>
      </c>
      <c r="O135" s="19">
        <f>$B135*'Teva Payments'!M$26</f>
        <v>13434.33172731961</v>
      </c>
      <c r="P135" s="19">
        <f>$B135*'Teva Payments'!N$26</f>
        <v>13434.33172731961</v>
      </c>
      <c r="Q135" s="19">
        <f>$B135*'Teva Payments'!O$26</f>
        <v>13434.452386539893</v>
      </c>
      <c r="R135" s="39" t="s">
        <v>346</v>
      </c>
      <c r="S135" s="7">
        <f t="shared" si="10"/>
        <v>172129.34391877975</v>
      </c>
    </row>
    <row r="136" spans="1:19" x14ac:dyDescent="0.35">
      <c r="A136" s="3" t="s">
        <v>166</v>
      </c>
      <c r="B136" s="16">
        <v>1.23477897536E-3</v>
      </c>
      <c r="C136" s="8" t="s">
        <v>166</v>
      </c>
      <c r="D136" s="33" t="str">
        <f t="shared" si="9"/>
        <v>No</v>
      </c>
      <c r="E136" s="19">
        <f>$B136*'Teva Payments'!C$26</f>
        <v>4129.7949988264727</v>
      </c>
      <c r="F136" s="19">
        <v>4227.3599999999997</v>
      </c>
      <c r="G136" s="19">
        <f>$B136*'Teva Payments'!E$26</f>
        <v>4610.4932802668964</v>
      </c>
      <c r="H136" s="19">
        <f>$B136*'Teva Payments'!F$26</f>
        <v>4610.4932802668973</v>
      </c>
      <c r="I136" s="19">
        <f>$B136*'Teva Payments'!G$26</f>
        <v>4610.4932802668973</v>
      </c>
      <c r="J136" s="19">
        <f>$B136*'Teva Payments'!H$26</f>
        <v>4610.4932802668973</v>
      </c>
      <c r="K136" s="19">
        <f>$B136*'Teva Payments'!I$26</f>
        <v>4610.4932800634142</v>
      </c>
      <c r="L136" s="19">
        <f>$B136*'Teva Payments'!J$26</f>
        <v>4610.4932800634142</v>
      </c>
      <c r="M136" s="19">
        <f>$B136*'Teva Payments'!K$26</f>
        <v>4610.4932800634142</v>
      </c>
      <c r="N136" s="19">
        <f>$B136*'Teva Payments'!L$26</f>
        <v>4610.4932800634142</v>
      </c>
      <c r="O136" s="19">
        <f>$B136*'Teva Payments'!M$26</f>
        <v>4610.4932800634142</v>
      </c>
      <c r="P136" s="19">
        <f>$B136*'Teva Payments'!N$26</f>
        <v>4610.4932800634142</v>
      </c>
      <c r="Q136" s="19">
        <f>$B136*'Teva Payments'!O$26</f>
        <v>4610.5346887866453</v>
      </c>
      <c r="R136" s="39" t="s">
        <v>346</v>
      </c>
      <c r="S136" s="7">
        <f t="shared" si="10"/>
        <v>59072.622489061185</v>
      </c>
    </row>
    <row r="137" spans="1:19" x14ac:dyDescent="0.35">
      <c r="A137" s="3" t="s">
        <v>98</v>
      </c>
      <c r="B137" s="16">
        <v>1.0289042960000001E-4</v>
      </c>
      <c r="C137" s="8" t="s">
        <v>167</v>
      </c>
      <c r="D137" s="33" t="str">
        <f t="shared" si="9"/>
        <v>No</v>
      </c>
      <c r="E137" s="19">
        <f>$B137*'Teva Payments'!C$26</f>
        <v>344.12343428936572</v>
      </c>
      <c r="F137" s="19">
        <v>352.25</v>
      </c>
      <c r="G137" s="19">
        <f>$B137*'Teva Payments'!E$26</f>
        <v>384.17858073447513</v>
      </c>
      <c r="H137" s="19">
        <f>$B137*'Teva Payments'!F$26</f>
        <v>384.17858073447513</v>
      </c>
      <c r="I137" s="19">
        <f>$B137*'Teva Payments'!G$26</f>
        <v>384.17858073447513</v>
      </c>
      <c r="J137" s="19">
        <f>$B137*'Teva Payments'!H$26</f>
        <v>384.17858073447513</v>
      </c>
      <c r="K137" s="19">
        <f>$B137*'Teva Payments'!I$26</f>
        <v>384.17858071751954</v>
      </c>
      <c r="L137" s="19">
        <f>$B137*'Teva Payments'!J$26</f>
        <v>384.17858071751954</v>
      </c>
      <c r="M137" s="19">
        <f>$B137*'Teva Payments'!K$26</f>
        <v>384.17858071751954</v>
      </c>
      <c r="N137" s="19">
        <f>$B137*'Teva Payments'!L$26</f>
        <v>384.17858071751954</v>
      </c>
      <c r="O137" s="19">
        <f>$B137*'Teva Payments'!M$26</f>
        <v>384.17858071751954</v>
      </c>
      <c r="P137" s="19">
        <f>$B137*'Teva Payments'!N$26</f>
        <v>384.17858071751954</v>
      </c>
      <c r="Q137" s="19">
        <f>$B137*'Teva Payments'!O$26</f>
        <v>384.18203118226461</v>
      </c>
      <c r="R137" s="39" t="s">
        <v>346</v>
      </c>
      <c r="S137" s="7">
        <f t="shared" si="10"/>
        <v>4922.3412727146488</v>
      </c>
    </row>
    <row r="138" spans="1:19" x14ac:dyDescent="0.35">
      <c r="A138" s="3" t="s">
        <v>168</v>
      </c>
      <c r="B138" s="16">
        <v>6.4066292393600011E-3</v>
      </c>
      <c r="C138" s="8" t="s">
        <v>168</v>
      </c>
      <c r="D138" s="33" t="str">
        <f t="shared" si="9"/>
        <v>No</v>
      </c>
      <c r="E138" s="19">
        <f>$B138*'Teva Payments'!C$26</f>
        <v>21427.369529296146</v>
      </c>
      <c r="F138" s="19">
        <v>21933.58</v>
      </c>
      <c r="G138" s="19">
        <f>$B138*'Teva Payments'!E$26</f>
        <v>23921.464202627012</v>
      </c>
      <c r="H138" s="19">
        <f>$B138*'Teva Payments'!F$26</f>
        <v>23921.464202627016</v>
      </c>
      <c r="I138" s="19">
        <f>$B138*'Teva Payments'!G$26</f>
        <v>23921.464202627016</v>
      </c>
      <c r="J138" s="19">
        <f>$B138*'Teva Payments'!H$26</f>
        <v>23921.464202627016</v>
      </c>
      <c r="K138" s="19">
        <f>$B138*'Teva Payments'!I$26</f>
        <v>23921.464201571249</v>
      </c>
      <c r="L138" s="19">
        <f>$B138*'Teva Payments'!J$26</f>
        <v>23921.464201571249</v>
      </c>
      <c r="M138" s="19">
        <f>$B138*'Teva Payments'!K$26</f>
        <v>23921.464201571249</v>
      </c>
      <c r="N138" s="19">
        <f>$B138*'Teva Payments'!L$26</f>
        <v>23921.464201571249</v>
      </c>
      <c r="O138" s="19">
        <f>$B138*'Teva Payments'!M$26</f>
        <v>23921.464201571249</v>
      </c>
      <c r="P138" s="19">
        <f>$B138*'Teva Payments'!N$26</f>
        <v>23921.464201571249</v>
      </c>
      <c r="Q138" s="19">
        <f>$B138*'Teva Payments'!O$26</f>
        <v>23921.679050011586</v>
      </c>
      <c r="R138" s="39" t="s">
        <v>346</v>
      </c>
      <c r="S138" s="7">
        <f t="shared" si="10"/>
        <v>306497.27059924323</v>
      </c>
    </row>
    <row r="139" spans="1:19" x14ac:dyDescent="0.35">
      <c r="A139" s="3" t="s">
        <v>55</v>
      </c>
      <c r="B139" s="16">
        <v>1.9759611312000001E-3</v>
      </c>
      <c r="C139" s="8" t="s">
        <v>169</v>
      </c>
      <c r="D139" s="33" t="str">
        <f t="shared" si="9"/>
        <v>No</v>
      </c>
      <c r="E139" s="19">
        <f>$B139*'Teva Payments'!C$26</f>
        <v>6608.7247680307473</v>
      </c>
      <c r="F139" s="19">
        <v>6764.85</v>
      </c>
      <c r="G139" s="19">
        <f>$B139*'Teva Payments'!E$26</f>
        <v>7377.9645582401563</v>
      </c>
      <c r="H139" s="19">
        <f>$B139*'Teva Payments'!F$26</f>
        <v>7377.9645582401572</v>
      </c>
      <c r="I139" s="19">
        <f>$B139*'Teva Payments'!G$26</f>
        <v>7377.9645582401572</v>
      </c>
      <c r="J139" s="19">
        <f>$B139*'Teva Payments'!H$26</f>
        <v>7377.9645582401572</v>
      </c>
      <c r="K139" s="19">
        <f>$B139*'Teva Payments'!I$26</f>
        <v>7377.9645579145335</v>
      </c>
      <c r="L139" s="19">
        <f>$B139*'Teva Payments'!J$26</f>
        <v>7377.9645579145335</v>
      </c>
      <c r="M139" s="19">
        <f>$B139*'Teva Payments'!K$26</f>
        <v>7377.9645579145335</v>
      </c>
      <c r="N139" s="19">
        <f>$B139*'Teva Payments'!L$26</f>
        <v>7377.9645579145335</v>
      </c>
      <c r="O139" s="19">
        <f>$B139*'Teva Payments'!M$26</f>
        <v>7377.9645579145335</v>
      </c>
      <c r="P139" s="19">
        <f>$B139*'Teva Payments'!N$26</f>
        <v>7377.9645579145335</v>
      </c>
      <c r="Q139" s="19">
        <f>$B139*'Teva Payments'!O$26</f>
        <v>7378.0308224276405</v>
      </c>
      <c r="R139" s="39" t="s">
        <v>346</v>
      </c>
      <c r="S139" s="7">
        <f t="shared" si="10"/>
        <v>94531.251170906209</v>
      </c>
    </row>
    <row r="140" spans="1:19" x14ac:dyDescent="0.35">
      <c r="A140" s="3" t="s">
        <v>55</v>
      </c>
      <c r="B140" s="16">
        <v>6.4866012853422349E-3</v>
      </c>
      <c r="C140" s="8" t="s">
        <v>55</v>
      </c>
      <c r="D140" s="33" t="str">
        <f t="shared" si="9"/>
        <v>No</v>
      </c>
      <c r="E140" s="19">
        <f>$B140*'Teva Payments'!C$26</f>
        <v>21694.841005676815</v>
      </c>
      <c r="F140" s="19">
        <v>22207.37</v>
      </c>
      <c r="G140" s="19">
        <f>$B140*'Teva Payments'!E$26</f>
        <v>24220.068720494502</v>
      </c>
      <c r="H140" s="19">
        <f>$B140*'Teva Payments'!F$26</f>
        <v>24220.068720494506</v>
      </c>
      <c r="I140" s="19">
        <f>$B140*'Teva Payments'!G$26</f>
        <v>24220.068720494506</v>
      </c>
      <c r="J140" s="19">
        <f>$B140*'Teva Payments'!H$26</f>
        <v>24220.068720494506</v>
      </c>
      <c r="K140" s="19">
        <f>$B140*'Teva Payments'!I$26</f>
        <v>24220.068719425559</v>
      </c>
      <c r="L140" s="19">
        <f>$B140*'Teva Payments'!J$26</f>
        <v>24220.068719425559</v>
      </c>
      <c r="M140" s="19">
        <f>$B140*'Teva Payments'!K$26</f>
        <v>24220.068719425559</v>
      </c>
      <c r="N140" s="19">
        <f>$B140*'Teva Payments'!L$26</f>
        <v>24220.068719425559</v>
      </c>
      <c r="O140" s="19">
        <f>$B140*'Teva Payments'!M$26</f>
        <v>24220.068719425559</v>
      </c>
      <c r="P140" s="19">
        <f>$B140*'Teva Payments'!N$26</f>
        <v>24220.068719425559</v>
      </c>
      <c r="Q140" s="19">
        <f>$B140*'Teva Payments'!O$26</f>
        <v>24220.28624975503</v>
      </c>
      <c r="R140" s="39" t="s">
        <v>346</v>
      </c>
      <c r="S140" s="7">
        <f t="shared" si="10"/>
        <v>310323.18445396324</v>
      </c>
    </row>
    <row r="141" spans="1:19" x14ac:dyDescent="0.35">
      <c r="A141" s="3" t="s">
        <v>83</v>
      </c>
      <c r="B141" s="16">
        <v>3.1086096476003178E-4</v>
      </c>
      <c r="C141" s="8" t="s">
        <v>170</v>
      </c>
      <c r="D141" s="33" t="str">
        <f t="shared" si="9"/>
        <v>No</v>
      </c>
      <c r="E141" s="19">
        <f>$B141*'Teva Payments'!C$26</f>
        <v>1039.6938101590706</v>
      </c>
      <c r="F141" s="19">
        <v>1064.26</v>
      </c>
      <c r="G141" s="19">
        <f>$B141*'Teva Payments'!E$26</f>
        <v>1160.7116882643347</v>
      </c>
      <c r="H141" s="19">
        <f>$B141*'Teva Payments'!F$26</f>
        <v>1160.711688264335</v>
      </c>
      <c r="I141" s="19">
        <f>$B141*'Teva Payments'!G$26</f>
        <v>1160.711688264335</v>
      </c>
      <c r="J141" s="19">
        <f>$B141*'Teva Payments'!H$26</f>
        <v>1160.711688264335</v>
      </c>
      <c r="K141" s="19">
        <f>$B141*'Teva Payments'!I$26</f>
        <v>1160.7116882131072</v>
      </c>
      <c r="L141" s="19">
        <f>$B141*'Teva Payments'!J$26</f>
        <v>1160.7116882131072</v>
      </c>
      <c r="M141" s="19">
        <f>$B141*'Teva Payments'!K$26</f>
        <v>1160.7116882131072</v>
      </c>
      <c r="N141" s="19">
        <f>$B141*'Teva Payments'!L$26</f>
        <v>1160.7116882131072</v>
      </c>
      <c r="O141" s="19">
        <f>$B141*'Teva Payments'!M$26</f>
        <v>1160.7116882131072</v>
      </c>
      <c r="P141" s="19">
        <f>$B141*'Teva Payments'!N$26</f>
        <v>1160.7116882131072</v>
      </c>
      <c r="Q141" s="19">
        <f>$B141*'Teva Payments'!O$26</f>
        <v>1160.7221130388534</v>
      </c>
      <c r="R141" s="39" t="s">
        <v>346</v>
      </c>
      <c r="S141" s="7">
        <f t="shared" si="10"/>
        <v>14871.792805533905</v>
      </c>
    </row>
    <row r="142" spans="1:19" x14ac:dyDescent="0.35">
      <c r="A142" s="3" t="s">
        <v>83</v>
      </c>
      <c r="B142" s="16">
        <v>2.2630631961371855E-3</v>
      </c>
      <c r="C142" s="8" t="s">
        <v>171</v>
      </c>
      <c r="D142" s="33" t="str">
        <f t="shared" si="9"/>
        <v>No</v>
      </c>
      <c r="E142" s="19">
        <f>$B142*'Teva Payments'!C$26</f>
        <v>7568.9554616126961</v>
      </c>
      <c r="F142" s="19">
        <v>7747.77</v>
      </c>
      <c r="G142" s="19">
        <f>$B142*'Teva Payments'!E$26</f>
        <v>8449.9638128093593</v>
      </c>
      <c r="H142" s="19">
        <f>$B142*'Teva Payments'!F$26</f>
        <v>8449.9638128093593</v>
      </c>
      <c r="I142" s="19">
        <f>$B142*'Teva Payments'!G$26</f>
        <v>8449.9638128093593</v>
      </c>
      <c r="J142" s="19">
        <f>$B142*'Teva Payments'!H$26</f>
        <v>8449.9638128093593</v>
      </c>
      <c r="K142" s="19">
        <f>$B142*'Teva Payments'!I$26</f>
        <v>8449.9638124364228</v>
      </c>
      <c r="L142" s="19">
        <f>$B142*'Teva Payments'!J$26</f>
        <v>8449.9638124364228</v>
      </c>
      <c r="M142" s="19">
        <f>$B142*'Teva Payments'!K$26</f>
        <v>8449.9638124364228</v>
      </c>
      <c r="N142" s="19">
        <f>$B142*'Teva Payments'!L$26</f>
        <v>8449.9638124364228</v>
      </c>
      <c r="O142" s="19">
        <f>$B142*'Teva Payments'!M$26</f>
        <v>8449.9638124364228</v>
      </c>
      <c r="P142" s="19">
        <f>$B142*'Teva Payments'!N$26</f>
        <v>8449.9638124364228</v>
      </c>
      <c r="Q142" s="19">
        <f>$B142*'Teva Payments'!O$26</f>
        <v>8450.0397050126776</v>
      </c>
      <c r="R142" s="39" t="s">
        <v>346</v>
      </c>
      <c r="S142" s="7">
        <f t="shared" si="10"/>
        <v>108266.40329248137</v>
      </c>
    </row>
    <row r="143" spans="1:19" x14ac:dyDescent="0.35">
      <c r="A143" s="3" t="s">
        <v>83</v>
      </c>
      <c r="B143" s="16">
        <v>2.2227072397600002E-2</v>
      </c>
      <c r="C143" s="8" t="s">
        <v>83</v>
      </c>
      <c r="D143" s="33" t="str">
        <f t="shared" si="9"/>
        <v>No</v>
      </c>
      <c r="E143" s="19">
        <f>$B143*'Teva Payments'!C$26</f>
        <v>74339.824582290181</v>
      </c>
      <c r="F143" s="19">
        <v>76096.070000000007</v>
      </c>
      <c r="G143" s="19">
        <f>$B143*'Teva Payments'!E$26</f>
        <v>82992.802739667008</v>
      </c>
      <c r="H143" s="19">
        <f>$B143*'Teva Payments'!F$26</f>
        <v>82992.802739667008</v>
      </c>
      <c r="I143" s="19">
        <f>$B143*'Teva Payments'!G$26</f>
        <v>82992.802739667008</v>
      </c>
      <c r="J143" s="19">
        <f>$B143*'Teva Payments'!H$26</f>
        <v>82992.802739667008</v>
      </c>
      <c r="K143" s="19">
        <f>$B143*'Teva Payments'!I$26</f>
        <v>82992.802736004145</v>
      </c>
      <c r="L143" s="19">
        <f>$B143*'Teva Payments'!J$26</f>
        <v>82992.802736004145</v>
      </c>
      <c r="M143" s="19">
        <f>$B143*'Teva Payments'!K$26</f>
        <v>82992.802736004145</v>
      </c>
      <c r="N143" s="19">
        <f>$B143*'Teva Payments'!L$26</f>
        <v>82992.802736004145</v>
      </c>
      <c r="O143" s="19">
        <f>$B143*'Teva Payments'!M$26</f>
        <v>82992.802736004145</v>
      </c>
      <c r="P143" s="19">
        <f>$B143*'Teva Payments'!N$26</f>
        <v>82992.802736004145</v>
      </c>
      <c r="Q143" s="19">
        <f>$B143*'Teva Payments'!O$26</f>
        <v>82993.548128262613</v>
      </c>
      <c r="R143" s="39" t="s">
        <v>346</v>
      </c>
      <c r="S143" s="7">
        <f t="shared" si="10"/>
        <v>1063357.4700852456</v>
      </c>
    </row>
    <row r="144" spans="1:19" x14ac:dyDescent="0.35">
      <c r="A144" s="3" t="s">
        <v>172</v>
      </c>
      <c r="B144" s="16">
        <v>9.8379769212851402E-4</v>
      </c>
      <c r="C144" s="8" t="s">
        <v>172</v>
      </c>
      <c r="D144" s="33" t="str">
        <f t="shared" si="9"/>
        <v>No</v>
      </c>
      <c r="E144" s="19">
        <f>$B144*'Teva Payments'!C$26</f>
        <v>3290.3725038117277</v>
      </c>
      <c r="F144" s="19">
        <v>3368.11</v>
      </c>
      <c r="G144" s="19">
        <f>$B144*'Teva Payments'!E$26</f>
        <v>3673.3640102498375</v>
      </c>
      <c r="H144" s="19">
        <f>$B144*'Teva Payments'!F$26</f>
        <v>3673.364010249838</v>
      </c>
      <c r="I144" s="19">
        <f>$B144*'Teva Payments'!G$26</f>
        <v>3673.364010249838</v>
      </c>
      <c r="J144" s="19">
        <f>$B144*'Teva Payments'!H$26</f>
        <v>3673.364010249838</v>
      </c>
      <c r="K144" s="19">
        <f>$B144*'Teva Payments'!I$26</f>
        <v>3673.3640100877151</v>
      </c>
      <c r="L144" s="19">
        <f>$B144*'Teva Payments'!J$26</f>
        <v>3673.3640100877151</v>
      </c>
      <c r="M144" s="19">
        <f>$B144*'Teva Payments'!K$26</f>
        <v>3673.3640100877151</v>
      </c>
      <c r="N144" s="19">
        <f>$B144*'Teva Payments'!L$26</f>
        <v>3673.3640100877151</v>
      </c>
      <c r="O144" s="19">
        <f>$B144*'Teva Payments'!M$26</f>
        <v>3673.3640100877151</v>
      </c>
      <c r="P144" s="19">
        <f>$B144*'Teva Payments'!N$26</f>
        <v>3673.3640100877151</v>
      </c>
      <c r="Q144" s="19">
        <f>$B144*'Teva Payments'!O$26</f>
        <v>3673.3970020702172</v>
      </c>
      <c r="R144" s="39" t="s">
        <v>346</v>
      </c>
      <c r="S144" s="7">
        <f t="shared" si="10"/>
        <v>47065.519607407594</v>
      </c>
    </row>
    <row r="145" spans="1:19" x14ac:dyDescent="0.35">
      <c r="A145" s="3" t="s">
        <v>14</v>
      </c>
      <c r="B145" s="16">
        <v>3.1145250536960004E-2</v>
      </c>
      <c r="C145" s="8" t="s">
        <v>14</v>
      </c>
      <c r="D145" s="33" t="str">
        <f t="shared" si="9"/>
        <v>No</v>
      </c>
      <c r="E145" s="19">
        <f>$B145*'Teva Payments'!C$26</f>
        <v>104167.2254479671</v>
      </c>
      <c r="F145" s="19">
        <v>106921.88</v>
      </c>
      <c r="G145" s="19">
        <f>$B145*'Teva Payments'!E$26</f>
        <v>116292.0418781976</v>
      </c>
      <c r="H145" s="19">
        <f>$B145*'Teva Payments'!F$26</f>
        <v>116292.04187819762</v>
      </c>
      <c r="I145" s="19">
        <f>$B145*'Teva Payments'!G$26</f>
        <v>116292.04187819762</v>
      </c>
      <c r="J145" s="19">
        <f>$B145*'Teva Payments'!H$26</f>
        <v>116292.04187819762</v>
      </c>
      <c r="K145" s="19">
        <f>$B145*'Teva Payments'!I$26</f>
        <v>116292.0418730651</v>
      </c>
      <c r="L145" s="19">
        <f>$B145*'Teva Payments'!J$26</f>
        <v>116292.0418730651</v>
      </c>
      <c r="M145" s="19">
        <f>$B145*'Teva Payments'!K$26</f>
        <v>116292.0418730651</v>
      </c>
      <c r="N145" s="19">
        <f>$B145*'Teva Payments'!L$26</f>
        <v>116292.0418730651</v>
      </c>
      <c r="O145" s="19">
        <f>$B145*'Teva Payments'!M$26</f>
        <v>116292.0418730651</v>
      </c>
      <c r="P145" s="19">
        <f>$B145*'Teva Payments'!N$26</f>
        <v>116292.0418730651</v>
      </c>
      <c r="Q145" s="19">
        <f>$B145*'Teva Payments'!O$26</f>
        <v>116293.08633939081</v>
      </c>
      <c r="R145" s="39" t="s">
        <v>346</v>
      </c>
      <c r="S145" s="7">
        <f t="shared" si="10"/>
        <v>1490302.6105385388</v>
      </c>
    </row>
    <row r="146" spans="1:19" x14ac:dyDescent="0.35">
      <c r="A146" s="3" t="s">
        <v>14</v>
      </c>
      <c r="B146" s="16">
        <v>8.5048985958722254E-4</v>
      </c>
      <c r="C146" s="8" t="s">
        <v>173</v>
      </c>
      <c r="D146" s="33" t="str">
        <f t="shared" si="9"/>
        <v>No</v>
      </c>
      <c r="E146" s="19">
        <f>$B146*'Teva Payments'!C$26</f>
        <v>2844.5161755786412</v>
      </c>
      <c r="F146" s="19">
        <v>2911.72</v>
      </c>
      <c r="G146" s="19">
        <f>$B146*'Teva Payments'!E$26</f>
        <v>3175.6110695185798</v>
      </c>
      <c r="H146" s="19">
        <f>$B146*'Teva Payments'!F$26</f>
        <v>3175.6110695185803</v>
      </c>
      <c r="I146" s="19">
        <f>$B146*'Teva Payments'!G$26</f>
        <v>3175.6110695185803</v>
      </c>
      <c r="J146" s="19">
        <f>$B146*'Teva Payments'!H$26</f>
        <v>3175.6110695185803</v>
      </c>
      <c r="K146" s="19">
        <f>$B146*'Teva Payments'!I$26</f>
        <v>3175.6110693784253</v>
      </c>
      <c r="L146" s="19">
        <f>$B146*'Teva Payments'!J$26</f>
        <v>3175.6110693784253</v>
      </c>
      <c r="M146" s="19">
        <f>$B146*'Teva Payments'!K$26</f>
        <v>3175.6110693784253</v>
      </c>
      <c r="N146" s="19">
        <f>$B146*'Teva Payments'!L$26</f>
        <v>3175.6110693784253</v>
      </c>
      <c r="O146" s="19">
        <f>$B146*'Teva Payments'!M$26</f>
        <v>3175.6110693784253</v>
      </c>
      <c r="P146" s="19">
        <f>$B146*'Teva Payments'!N$26</f>
        <v>3175.6110693784253</v>
      </c>
      <c r="Q146" s="19">
        <f>$B146*'Teva Payments'!O$26</f>
        <v>3175.6395908384679</v>
      </c>
      <c r="R146" s="39" t="s">
        <v>346</v>
      </c>
      <c r="S146" s="7">
        <f t="shared" si="10"/>
        <v>40687.986460761982</v>
      </c>
    </row>
    <row r="147" spans="1:19" x14ac:dyDescent="0.35">
      <c r="A147" s="3" t="s">
        <v>174</v>
      </c>
      <c r="B147" s="16">
        <v>4.0439910399508605E-5</v>
      </c>
      <c r="C147" s="8" t="s">
        <v>174</v>
      </c>
      <c r="D147" s="33" t="str">
        <f t="shared" si="9"/>
        <v>Yes</v>
      </c>
      <c r="E147" s="19">
        <f>B147*'Teva Payments'!$Q$26</f>
        <v>1947.2192870353142</v>
      </c>
      <c r="F147" s="19">
        <v>0</v>
      </c>
      <c r="G147" s="52">
        <f>$B147*'Teva Payments'!E$26</f>
        <v>150.99701150740023</v>
      </c>
      <c r="H147" s="52">
        <f>$B147*'Teva Payments'!F$26</f>
        <v>150.99701150740026</v>
      </c>
      <c r="I147" s="52">
        <f>$B147*'Teva Payments'!G$26</f>
        <v>150.99701150740026</v>
      </c>
      <c r="J147" s="52">
        <f>$B147*'Teva Payments'!H$26</f>
        <v>150.99701150740026</v>
      </c>
      <c r="K147" s="52">
        <f>$B147*'Teva Payments'!I$26</f>
        <v>150.99701150073605</v>
      </c>
      <c r="L147" s="52">
        <f>$B147*'Teva Payments'!J$26</f>
        <v>150.99701150073605</v>
      </c>
      <c r="M147" s="52">
        <f>$B147*'Teva Payments'!K$26</f>
        <v>150.99701150073605</v>
      </c>
      <c r="N147" s="52">
        <f>$B147*'Teva Payments'!L$26</f>
        <v>150.99701150073605</v>
      </c>
      <c r="O147" s="52">
        <f>$B147*'Teva Payments'!M$26</f>
        <v>150.99701150073605</v>
      </c>
      <c r="P147" s="52">
        <f>$B147*'Teva Payments'!N$26</f>
        <v>150.99701150073605</v>
      </c>
      <c r="Q147" s="52">
        <f>$B147*'Teva Payments'!O$26</f>
        <v>150.9983676665687</v>
      </c>
      <c r="R147" s="39" t="s">
        <v>346</v>
      </c>
      <c r="S147" s="7">
        <f>E147</f>
        <v>1947.2192870353142</v>
      </c>
    </row>
    <row r="148" spans="1:19" x14ac:dyDescent="0.35">
      <c r="A148" s="3" t="s">
        <v>175</v>
      </c>
      <c r="B148" s="16">
        <v>8.157508475200001E-4</v>
      </c>
      <c r="C148" s="8" t="s">
        <v>175</v>
      </c>
      <c r="D148" s="33" t="str">
        <f t="shared" si="9"/>
        <v>No</v>
      </c>
      <c r="E148" s="19">
        <f>$B148*'Teva Payments'!C$26</f>
        <v>2728.3293914154588</v>
      </c>
      <c r="F148" s="19">
        <v>2792.78</v>
      </c>
      <c r="G148" s="19">
        <f>$B148*'Teva Payments'!E$26</f>
        <v>3045.9004209773348</v>
      </c>
      <c r="H148" s="19">
        <f>$B148*'Teva Payments'!F$26</f>
        <v>3045.9004209773352</v>
      </c>
      <c r="I148" s="19">
        <f>$B148*'Teva Payments'!G$26</f>
        <v>3045.9004209773352</v>
      </c>
      <c r="J148" s="19">
        <f>$B148*'Teva Payments'!H$26</f>
        <v>3045.9004209773352</v>
      </c>
      <c r="K148" s="19">
        <f>$B148*'Teva Payments'!I$26</f>
        <v>3045.9004208429051</v>
      </c>
      <c r="L148" s="19">
        <f>$B148*'Teva Payments'!J$26</f>
        <v>3045.9004208429051</v>
      </c>
      <c r="M148" s="19">
        <f>$B148*'Teva Payments'!K$26</f>
        <v>3045.9004208429051</v>
      </c>
      <c r="N148" s="19">
        <f>$B148*'Teva Payments'!L$26</f>
        <v>3045.9004208429051</v>
      </c>
      <c r="O148" s="19">
        <f>$B148*'Teva Payments'!M$26</f>
        <v>3045.9004208429051</v>
      </c>
      <c r="P148" s="19">
        <f>$B148*'Teva Payments'!N$26</f>
        <v>3045.9004208429051</v>
      </c>
      <c r="Q148" s="19">
        <f>$B148*'Teva Payments'!O$26</f>
        <v>3045.9277773186345</v>
      </c>
      <c r="R148" s="39" t="s">
        <v>346</v>
      </c>
      <c r="S148" s="7">
        <f t="shared" si="10"/>
        <v>39026.041377700851</v>
      </c>
    </row>
    <row r="149" spans="1:19" x14ac:dyDescent="0.35">
      <c r="A149" s="3" t="s">
        <v>176</v>
      </c>
      <c r="B149" s="16">
        <v>5.9449414360000005E-3</v>
      </c>
      <c r="C149" s="8" t="s">
        <v>177</v>
      </c>
      <c r="D149" s="33" t="str">
        <f t="shared" si="9"/>
        <v>No</v>
      </c>
      <c r="E149" s="19">
        <f>$B149*'Teva Payments'!C$26</f>
        <v>19883.225986700258</v>
      </c>
      <c r="F149" s="19">
        <v>20352.96</v>
      </c>
      <c r="G149" s="19">
        <f>$B149*'Teva Payments'!E$26</f>
        <v>22197.586037021003</v>
      </c>
      <c r="H149" s="19">
        <f>$B149*'Teva Payments'!F$26</f>
        <v>22197.586037021003</v>
      </c>
      <c r="I149" s="19">
        <f>$B149*'Teva Payments'!G$26</f>
        <v>22197.586037021003</v>
      </c>
      <c r="J149" s="19">
        <f>$B149*'Teva Payments'!H$26</f>
        <v>22197.586037021003</v>
      </c>
      <c r="K149" s="19">
        <f>$B149*'Teva Payments'!I$26</f>
        <v>22197.586036041321</v>
      </c>
      <c r="L149" s="19">
        <f>$B149*'Teva Payments'!J$26</f>
        <v>22197.586036041321</v>
      </c>
      <c r="M149" s="19">
        <f>$B149*'Teva Payments'!K$26</f>
        <v>22197.586036041321</v>
      </c>
      <c r="N149" s="19">
        <f>$B149*'Teva Payments'!L$26</f>
        <v>22197.586036041321</v>
      </c>
      <c r="O149" s="19">
        <f>$B149*'Teva Payments'!M$26</f>
        <v>22197.586036041321</v>
      </c>
      <c r="P149" s="19">
        <f>$B149*'Teva Payments'!N$26</f>
        <v>22197.586036041321</v>
      </c>
      <c r="Q149" s="19">
        <f>$B149*'Teva Payments'!O$26</f>
        <v>22197.785401627763</v>
      </c>
      <c r="R149" s="39" t="s">
        <v>346</v>
      </c>
      <c r="S149" s="7">
        <f t="shared" si="10"/>
        <v>284409.83175265999</v>
      </c>
    </row>
    <row r="150" spans="1:19" x14ac:dyDescent="0.35">
      <c r="A150" s="3" t="s">
        <v>178</v>
      </c>
      <c r="B150" s="16">
        <v>4.7307352990073126E-3</v>
      </c>
      <c r="C150" s="8" t="s">
        <v>178</v>
      </c>
      <c r="D150" s="33" t="str">
        <f t="shared" si="9"/>
        <v>No</v>
      </c>
      <c r="E150" s="19">
        <f>$B150*'Teva Payments'!C$26</f>
        <v>15822.238123965668</v>
      </c>
      <c r="F150" s="19">
        <v>16196.03</v>
      </c>
      <c r="G150" s="19">
        <f>$B150*'Teva Payments'!E$26</f>
        <v>17663.908879267736</v>
      </c>
      <c r="H150" s="19">
        <f>$B150*'Teva Payments'!F$26</f>
        <v>17663.908879267739</v>
      </c>
      <c r="I150" s="19">
        <f>$B150*'Teva Payments'!G$26</f>
        <v>17663.908879267739</v>
      </c>
      <c r="J150" s="19">
        <f>$B150*'Teva Payments'!H$26</f>
        <v>17663.908879267739</v>
      </c>
      <c r="K150" s="19">
        <f>$B150*'Teva Payments'!I$26</f>
        <v>17663.908878488146</v>
      </c>
      <c r="L150" s="19">
        <f>$B150*'Teva Payments'!J$26</f>
        <v>17663.908878488146</v>
      </c>
      <c r="M150" s="19">
        <f>$B150*'Teva Payments'!K$26</f>
        <v>17663.908878488146</v>
      </c>
      <c r="N150" s="19">
        <f>$B150*'Teva Payments'!L$26</f>
        <v>17663.908878488146</v>
      </c>
      <c r="O150" s="19">
        <f>$B150*'Teva Payments'!M$26</f>
        <v>17663.908878488146</v>
      </c>
      <c r="P150" s="19">
        <f>$B150*'Teva Payments'!N$26</f>
        <v>17663.908878488146</v>
      </c>
      <c r="Q150" s="19">
        <f>$B150*'Teva Payments'!O$26</f>
        <v>17664.067525268329</v>
      </c>
      <c r="R150" s="39" t="s">
        <v>346</v>
      </c>
      <c r="S150" s="7">
        <f t="shared" si="10"/>
        <v>226321.4244372338</v>
      </c>
    </row>
    <row r="151" spans="1:19" x14ac:dyDescent="0.35">
      <c r="A151" s="3" t="s">
        <v>179</v>
      </c>
      <c r="B151" s="16">
        <v>1.38586949984E-3</v>
      </c>
      <c r="C151" s="8" t="s">
        <v>179</v>
      </c>
      <c r="D151" s="33" t="str">
        <f t="shared" si="9"/>
        <v>No</v>
      </c>
      <c r="E151" s="19">
        <f>$B151*'Teva Payments'!C$26</f>
        <v>4635.1266450716257</v>
      </c>
      <c r="F151" s="19">
        <v>4744.63</v>
      </c>
      <c r="G151" s="19">
        <f>$B151*'Teva Payments'!E$26</f>
        <v>5174.6443240793706</v>
      </c>
      <c r="H151" s="19">
        <f>$B151*'Teva Payments'!F$26</f>
        <v>5174.6443240793706</v>
      </c>
      <c r="I151" s="19">
        <f>$B151*'Teva Payments'!G$26</f>
        <v>5174.6443240793706</v>
      </c>
      <c r="J151" s="19">
        <f>$B151*'Teva Payments'!H$26</f>
        <v>5174.6443240793706</v>
      </c>
      <c r="K151" s="19">
        <f>$B151*'Teva Payments'!I$26</f>
        <v>5174.6443238509892</v>
      </c>
      <c r="L151" s="19">
        <f>$B151*'Teva Payments'!J$26</f>
        <v>5174.6443238509892</v>
      </c>
      <c r="M151" s="19">
        <f>$B151*'Teva Payments'!K$26</f>
        <v>5174.6443238509892</v>
      </c>
      <c r="N151" s="19">
        <f>$B151*'Teva Payments'!L$26</f>
        <v>5174.6443238509892</v>
      </c>
      <c r="O151" s="19">
        <f>$B151*'Teva Payments'!M$26</f>
        <v>5174.6443238509892</v>
      </c>
      <c r="P151" s="19">
        <f>$B151*'Teva Payments'!N$26</f>
        <v>5174.6443238509892</v>
      </c>
      <c r="Q151" s="19">
        <f>$B151*'Teva Payments'!O$26</f>
        <v>5174.690799445164</v>
      </c>
      <c r="R151" s="39" t="s">
        <v>346</v>
      </c>
      <c r="S151" s="7">
        <f t="shared" si="10"/>
        <v>66300.890683940204</v>
      </c>
    </row>
    <row r="152" spans="1:19" x14ac:dyDescent="0.35">
      <c r="A152" s="3" t="s">
        <v>16</v>
      </c>
      <c r="B152" s="16">
        <v>8.8237929539200007E-3</v>
      </c>
      <c r="C152" s="8" t="s">
        <v>16</v>
      </c>
      <c r="D152" s="33" t="str">
        <f t="shared" si="9"/>
        <v>No</v>
      </c>
      <c r="E152" s="19">
        <f>$B152*'Teva Payments'!C$26</f>
        <v>29511.72374890402</v>
      </c>
      <c r="F152" s="19">
        <v>30208.93</v>
      </c>
      <c r="G152" s="19">
        <f>$B152*'Teva Payments'!E$26</f>
        <v>32946.817958779786</v>
      </c>
      <c r="H152" s="19">
        <f>$B152*'Teva Payments'!F$26</f>
        <v>32946.817958779793</v>
      </c>
      <c r="I152" s="19">
        <f>$B152*'Teva Payments'!G$26</f>
        <v>32946.817958779793</v>
      </c>
      <c r="J152" s="19">
        <f>$B152*'Teva Payments'!H$26</f>
        <v>32946.817958779793</v>
      </c>
      <c r="K152" s="19">
        <f>$B152*'Teva Payments'!I$26</f>
        <v>32946.817957325693</v>
      </c>
      <c r="L152" s="19">
        <f>$B152*'Teva Payments'!J$26</f>
        <v>32946.817957325693</v>
      </c>
      <c r="M152" s="19">
        <f>$B152*'Teva Payments'!K$26</f>
        <v>32946.817957325693</v>
      </c>
      <c r="N152" s="19">
        <f>$B152*'Teva Payments'!L$26</f>
        <v>32946.817957325693</v>
      </c>
      <c r="O152" s="19">
        <f>$B152*'Teva Payments'!M$26</f>
        <v>32946.817957325693</v>
      </c>
      <c r="P152" s="19">
        <f>$B152*'Teva Payments'!N$26</f>
        <v>32946.817957325693</v>
      </c>
      <c r="Q152" s="19">
        <f>$B152*'Teva Payments'!O$26</f>
        <v>32947.113866154374</v>
      </c>
      <c r="R152" s="39" t="s">
        <v>346</v>
      </c>
      <c r="S152" s="7">
        <f t="shared" si="10"/>
        <v>422135.94719413185</v>
      </c>
    </row>
    <row r="153" spans="1:19" x14ac:dyDescent="0.35">
      <c r="A153" s="3" t="s">
        <v>75</v>
      </c>
      <c r="B153" s="16">
        <v>6.68759179371164E-5</v>
      </c>
      <c r="C153" s="8" t="s">
        <v>180</v>
      </c>
      <c r="D153" s="8" t="s">
        <v>338</v>
      </c>
      <c r="E153" s="19">
        <v>0</v>
      </c>
      <c r="F153" s="19">
        <v>0</v>
      </c>
      <c r="G153" s="19">
        <v>0</v>
      </c>
      <c r="H153" s="19">
        <v>0</v>
      </c>
      <c r="I153" s="19">
        <v>0</v>
      </c>
      <c r="J153" s="19">
        <v>0</v>
      </c>
      <c r="K153" s="19">
        <v>0</v>
      </c>
      <c r="L153" s="19">
        <v>0</v>
      </c>
      <c r="M153" s="19">
        <v>0</v>
      </c>
      <c r="N153" s="19">
        <v>0</v>
      </c>
      <c r="O153" s="19">
        <v>0</v>
      </c>
      <c r="P153" s="19">
        <v>0</v>
      </c>
      <c r="Q153" s="19">
        <v>0</v>
      </c>
      <c r="R153" s="39" t="s">
        <v>346</v>
      </c>
      <c r="S153" s="7">
        <f t="shared" si="10"/>
        <v>0</v>
      </c>
    </row>
    <row r="154" spans="1:19" x14ac:dyDescent="0.35">
      <c r="A154" s="3" t="s">
        <v>55</v>
      </c>
      <c r="B154" s="16">
        <v>5.4332409981697403E-5</v>
      </c>
      <c r="C154" s="8" t="s">
        <v>181</v>
      </c>
      <c r="D154" s="33" t="str">
        <f t="shared" ref="D154:D177" si="11">IF(B154&lt;0.000083,"Yes","No")</f>
        <v>Yes</v>
      </c>
      <c r="E154" s="19">
        <f>B154*'Teva Payments'!$Q$26</f>
        <v>2616.1560592566684</v>
      </c>
      <c r="F154" s="19">
        <v>0</v>
      </c>
      <c r="G154" s="52">
        <f>$B154*'Teva Payments'!E$26</f>
        <v>202.86967637126219</v>
      </c>
      <c r="H154" s="52">
        <f>$B154*'Teva Payments'!F$26</f>
        <v>202.86967637126222</v>
      </c>
      <c r="I154" s="52">
        <f>$B154*'Teva Payments'!G$26</f>
        <v>202.86967637126222</v>
      </c>
      <c r="J154" s="52">
        <f>$B154*'Teva Payments'!H$26</f>
        <v>202.86967637126222</v>
      </c>
      <c r="K154" s="52">
        <f>$B154*'Teva Payments'!I$26</f>
        <v>202.86967636230861</v>
      </c>
      <c r="L154" s="52">
        <f>$B154*'Teva Payments'!J$26</f>
        <v>202.86967636230861</v>
      </c>
      <c r="M154" s="52">
        <f>$B154*'Teva Payments'!K$26</f>
        <v>202.86967636230861</v>
      </c>
      <c r="N154" s="52">
        <f>$B154*'Teva Payments'!L$26</f>
        <v>202.86967636230861</v>
      </c>
      <c r="O154" s="52">
        <f>$B154*'Teva Payments'!M$26</f>
        <v>202.86967636230861</v>
      </c>
      <c r="P154" s="52">
        <f>$B154*'Teva Payments'!N$26</f>
        <v>202.86967636230861</v>
      </c>
      <c r="Q154" s="52">
        <f>$B154*'Teva Payments'!O$26</f>
        <v>202.87149841773095</v>
      </c>
      <c r="R154" s="39" t="s">
        <v>346</v>
      </c>
      <c r="S154" s="7">
        <f>E154</f>
        <v>2616.1560592566684</v>
      </c>
    </row>
    <row r="155" spans="1:19" x14ac:dyDescent="0.35">
      <c r="A155" s="3" t="s">
        <v>47</v>
      </c>
      <c r="B155" s="16">
        <v>1.0664953412549122E-4</v>
      </c>
      <c r="C155" s="8" t="s">
        <v>182</v>
      </c>
      <c r="D155" s="33" t="str">
        <f t="shared" si="11"/>
        <v>No</v>
      </c>
      <c r="E155" s="19">
        <f>$B155*'Teva Payments'!C$26</f>
        <v>356.69599292473885</v>
      </c>
      <c r="F155" s="19">
        <v>365.12</v>
      </c>
      <c r="G155" s="19">
        <f>$B155*'Teva Payments'!E$26</f>
        <v>398.21455518856328</v>
      </c>
      <c r="H155" s="19">
        <f>$B155*'Teva Payments'!F$26</f>
        <v>398.21455518856334</v>
      </c>
      <c r="I155" s="19">
        <f>$B155*'Teva Payments'!G$26</f>
        <v>398.21455518856334</v>
      </c>
      <c r="J155" s="19">
        <f>$B155*'Teva Payments'!H$26</f>
        <v>398.21455518856334</v>
      </c>
      <c r="K155" s="19">
        <f>$B155*'Teva Payments'!I$26</f>
        <v>398.21455517098821</v>
      </c>
      <c r="L155" s="19">
        <f>$B155*'Teva Payments'!J$26</f>
        <v>398.21455517098821</v>
      </c>
      <c r="M155" s="19">
        <f>$B155*'Teva Payments'!K$26</f>
        <v>398.21455517098821</v>
      </c>
      <c r="N155" s="19">
        <f>$B155*'Teva Payments'!L$26</f>
        <v>398.21455517098821</v>
      </c>
      <c r="O155" s="19">
        <f>$B155*'Teva Payments'!M$26</f>
        <v>398.21455517098821</v>
      </c>
      <c r="P155" s="19">
        <f>$B155*'Teva Payments'!N$26</f>
        <v>398.21455517098821</v>
      </c>
      <c r="Q155" s="19">
        <f>$B155*'Teva Payments'!O$26</f>
        <v>398.21813169855267</v>
      </c>
      <c r="R155" s="39" t="s">
        <v>346</v>
      </c>
      <c r="S155" s="7">
        <f t="shared" si="10"/>
        <v>5102.1796764034734</v>
      </c>
    </row>
    <row r="156" spans="1:19" x14ac:dyDescent="0.35">
      <c r="A156" s="3" t="s">
        <v>22</v>
      </c>
      <c r="B156" s="16">
        <v>9.4938127254031108E-4</v>
      </c>
      <c r="C156" s="8" t="s">
        <v>183</v>
      </c>
      <c r="D156" s="33" t="str">
        <f t="shared" si="11"/>
        <v>No</v>
      </c>
      <c r="E156" s="19">
        <f>$B156*'Teva Payments'!C$26</f>
        <v>3175.2646502370139</v>
      </c>
      <c r="F156" s="19">
        <v>3250.28</v>
      </c>
      <c r="G156" s="19">
        <f>$B156*'Teva Payments'!E$26</f>
        <v>3544.8578772425167</v>
      </c>
      <c r="H156" s="19">
        <f>$B156*'Teva Payments'!F$26</f>
        <v>3544.8578772425167</v>
      </c>
      <c r="I156" s="19">
        <f>$B156*'Teva Payments'!G$26</f>
        <v>3544.8578772425167</v>
      </c>
      <c r="J156" s="19">
        <f>$B156*'Teva Payments'!H$26</f>
        <v>3544.8578772425167</v>
      </c>
      <c r="K156" s="19">
        <f>$B156*'Teva Payments'!I$26</f>
        <v>3544.8578770860654</v>
      </c>
      <c r="L156" s="19">
        <f>$B156*'Teva Payments'!J$26</f>
        <v>3544.8578770860654</v>
      </c>
      <c r="M156" s="19">
        <f>$B156*'Teva Payments'!K$26</f>
        <v>3544.8578770860654</v>
      </c>
      <c r="N156" s="19">
        <f>$B156*'Teva Payments'!L$26</f>
        <v>3544.8578770860654</v>
      </c>
      <c r="O156" s="19">
        <f>$B156*'Teva Payments'!M$26</f>
        <v>3544.8578770860654</v>
      </c>
      <c r="P156" s="19">
        <f>$B156*'Teva Payments'!N$26</f>
        <v>3544.8578770860654</v>
      </c>
      <c r="Q156" s="19">
        <f>$B156*'Teva Payments'!O$26</f>
        <v>3544.8897149025011</v>
      </c>
      <c r="R156" s="39" t="s">
        <v>346</v>
      </c>
      <c r="S156" s="7">
        <f t="shared" si="10"/>
        <v>45419.013136625967</v>
      </c>
    </row>
    <row r="157" spans="1:19" x14ac:dyDescent="0.35">
      <c r="A157" s="3" t="s">
        <v>60</v>
      </c>
      <c r="B157" s="16">
        <v>1.4976536817760001E-2</v>
      </c>
      <c r="C157" s="8" t="s">
        <v>60</v>
      </c>
      <c r="D157" s="33" t="str">
        <f t="shared" si="11"/>
        <v>No</v>
      </c>
      <c r="E157" s="19">
        <f>$B157*'Teva Payments'!C$26</f>
        <v>50089.957866097771</v>
      </c>
      <c r="F157" s="19">
        <v>51273.31</v>
      </c>
      <c r="G157" s="19">
        <f>$B157*'Teva Payments'!E$26</f>
        <v>55920.309413934541</v>
      </c>
      <c r="H157" s="19">
        <f>$B157*'Teva Payments'!F$26</f>
        <v>55920.309413934541</v>
      </c>
      <c r="I157" s="19">
        <f>$B157*'Teva Payments'!G$26</f>
        <v>55920.309413934541</v>
      </c>
      <c r="J157" s="19">
        <f>$B157*'Teva Payments'!H$26</f>
        <v>55920.309413934541</v>
      </c>
      <c r="K157" s="19">
        <f>$B157*'Teva Payments'!I$26</f>
        <v>55920.309411466522</v>
      </c>
      <c r="L157" s="19">
        <f>$B157*'Teva Payments'!J$26</f>
        <v>55920.309411466522</v>
      </c>
      <c r="M157" s="19">
        <f>$B157*'Teva Payments'!K$26</f>
        <v>55920.309411466522</v>
      </c>
      <c r="N157" s="19">
        <f>$B157*'Teva Payments'!L$26</f>
        <v>55920.309411466522</v>
      </c>
      <c r="O157" s="19">
        <f>$B157*'Teva Payments'!M$26</f>
        <v>55920.309411466522</v>
      </c>
      <c r="P157" s="19">
        <f>$B157*'Teva Payments'!N$26</f>
        <v>55920.309411466522</v>
      </c>
      <c r="Q157" s="19">
        <f>$B157*'Teva Payments'!O$26</f>
        <v>55920.81165460511</v>
      </c>
      <c r="R157" s="39" t="s">
        <v>346</v>
      </c>
      <c r="S157" s="7">
        <f t="shared" si="10"/>
        <v>716487.17364524002</v>
      </c>
    </row>
    <row r="158" spans="1:19" x14ac:dyDescent="0.35">
      <c r="A158" s="3" t="s">
        <v>22</v>
      </c>
      <c r="B158" s="16">
        <v>4.4797409664000002E-3</v>
      </c>
      <c r="C158" s="8" t="s">
        <v>184</v>
      </c>
      <c r="D158" s="33" t="str">
        <f t="shared" si="11"/>
        <v>No</v>
      </c>
      <c r="E158" s="19">
        <f>$B158*'Teva Payments'!C$26</f>
        <v>14982.771984502726</v>
      </c>
      <c r="F158" s="19">
        <v>15336.73</v>
      </c>
      <c r="G158" s="19">
        <f>$B158*'Teva Payments'!E$26</f>
        <v>16726.730884692875</v>
      </c>
      <c r="H158" s="19">
        <f>$B158*'Teva Payments'!F$26</f>
        <v>16726.730884692875</v>
      </c>
      <c r="I158" s="19">
        <f>$B158*'Teva Payments'!G$26</f>
        <v>16726.730884692875</v>
      </c>
      <c r="J158" s="19">
        <f>$B158*'Teva Payments'!H$26</f>
        <v>16726.730884692875</v>
      </c>
      <c r="K158" s="19">
        <f>$B158*'Teva Payments'!I$26</f>
        <v>16726.730883954646</v>
      </c>
      <c r="L158" s="19">
        <f>$B158*'Teva Payments'!J$26</f>
        <v>16726.730883954646</v>
      </c>
      <c r="M158" s="19">
        <f>$B158*'Teva Payments'!K$26</f>
        <v>16726.730883954646</v>
      </c>
      <c r="N158" s="19">
        <f>$B158*'Teva Payments'!L$26</f>
        <v>16726.730883954646</v>
      </c>
      <c r="O158" s="19">
        <f>$B158*'Teva Payments'!M$26</f>
        <v>16726.730883954646</v>
      </c>
      <c r="P158" s="19">
        <f>$B158*'Teva Payments'!N$26</f>
        <v>16726.730883954646</v>
      </c>
      <c r="Q158" s="19">
        <f>$B158*'Teva Payments'!O$26</f>
        <v>16726.881113556483</v>
      </c>
      <c r="R158" s="39" t="s">
        <v>346</v>
      </c>
      <c r="S158" s="7">
        <f t="shared" si="10"/>
        <v>214313.69194055861</v>
      </c>
    </row>
    <row r="159" spans="1:19" x14ac:dyDescent="0.35">
      <c r="A159" s="3" t="s">
        <v>185</v>
      </c>
      <c r="B159" s="16">
        <v>7.1513735216000008E-4</v>
      </c>
      <c r="C159" s="8" t="s">
        <v>185</v>
      </c>
      <c r="D159" s="33" t="str">
        <f t="shared" si="11"/>
        <v>No</v>
      </c>
      <c r="E159" s="19">
        <f>$B159*'Teva Payments'!C$26</f>
        <v>2391.8213051557009</v>
      </c>
      <c r="F159" s="19">
        <v>2448.33</v>
      </c>
      <c r="G159" s="19">
        <f>$B159*'Teva Payments'!E$26</f>
        <v>2670.2235966078551</v>
      </c>
      <c r="H159" s="19">
        <f>$B159*'Teva Payments'!F$26</f>
        <v>2670.2235966078556</v>
      </c>
      <c r="I159" s="19">
        <f>$B159*'Teva Payments'!G$26</f>
        <v>2670.2235966078556</v>
      </c>
      <c r="J159" s="19">
        <f>$B159*'Teva Payments'!H$26</f>
        <v>2670.2235966078556</v>
      </c>
      <c r="K159" s="19">
        <f>$B159*'Teva Payments'!I$26</f>
        <v>2670.223596490006</v>
      </c>
      <c r="L159" s="19">
        <f>$B159*'Teva Payments'!J$26</f>
        <v>2670.223596490006</v>
      </c>
      <c r="M159" s="19">
        <f>$B159*'Teva Payments'!K$26</f>
        <v>2670.223596490006</v>
      </c>
      <c r="N159" s="19">
        <f>$B159*'Teva Payments'!L$26</f>
        <v>2670.223596490006</v>
      </c>
      <c r="O159" s="19">
        <f>$B159*'Teva Payments'!M$26</f>
        <v>2670.223596490006</v>
      </c>
      <c r="P159" s="19">
        <f>$B159*'Teva Payments'!N$26</f>
        <v>2670.223596490006</v>
      </c>
      <c r="Q159" s="19">
        <f>$B159*'Teva Payments'!O$26</f>
        <v>2670.2475788587367</v>
      </c>
      <c r="R159" s="39" t="s">
        <v>346</v>
      </c>
      <c r="S159" s="7">
        <f t="shared" si="10"/>
        <v>34212.634849385897</v>
      </c>
    </row>
    <row r="160" spans="1:19" x14ac:dyDescent="0.35">
      <c r="A160" s="3" t="s">
        <v>34</v>
      </c>
      <c r="B160" s="16">
        <v>3.6024341155030474E-5</v>
      </c>
      <c r="C160" s="8" t="s">
        <v>186</v>
      </c>
      <c r="D160" s="33" t="str">
        <f t="shared" si="11"/>
        <v>Yes</v>
      </c>
      <c r="E160" s="19">
        <f>B160*'Teva Payments'!$Q$26</f>
        <v>1734.6055222878965</v>
      </c>
      <c r="F160" s="19">
        <v>0</v>
      </c>
      <c r="G160" s="52">
        <f>$B160*'Teva Payments'!E$26</f>
        <v>134.50988892395631</v>
      </c>
      <c r="H160" s="52">
        <f>$B160*'Teva Payments'!F$26</f>
        <v>134.50988892395634</v>
      </c>
      <c r="I160" s="52">
        <f>$B160*'Teva Payments'!G$26</f>
        <v>134.50988892395634</v>
      </c>
      <c r="J160" s="52">
        <f>$B160*'Teva Payments'!H$26</f>
        <v>134.50988892395634</v>
      </c>
      <c r="K160" s="52">
        <f>$B160*'Teva Payments'!I$26</f>
        <v>134.50988891801978</v>
      </c>
      <c r="L160" s="52">
        <f>$B160*'Teva Payments'!J$26</f>
        <v>134.50988891801978</v>
      </c>
      <c r="M160" s="52">
        <f>$B160*'Teva Payments'!K$26</f>
        <v>134.50988891801978</v>
      </c>
      <c r="N160" s="52">
        <f>$B160*'Teva Payments'!L$26</f>
        <v>134.50988891801978</v>
      </c>
      <c r="O160" s="52">
        <f>$B160*'Teva Payments'!M$26</f>
        <v>134.50988891801978</v>
      </c>
      <c r="P160" s="52">
        <f>$B160*'Teva Payments'!N$26</f>
        <v>134.50988891801978</v>
      </c>
      <c r="Q160" s="52">
        <f>$B160*'Teva Payments'!O$26</f>
        <v>134.5110970062706</v>
      </c>
      <c r="R160" s="39" t="s">
        <v>346</v>
      </c>
      <c r="S160" s="7">
        <f>E160</f>
        <v>1734.6055222878965</v>
      </c>
    </row>
    <row r="161" spans="1:19" x14ac:dyDescent="0.35">
      <c r="A161" s="3" t="s">
        <v>187</v>
      </c>
      <c r="B161" s="16">
        <v>5.4349003265225979E-4</v>
      </c>
      <c r="C161" s="8" t="s">
        <v>187</v>
      </c>
      <c r="D161" s="33" t="str">
        <f t="shared" si="11"/>
        <v>No</v>
      </c>
      <c r="E161" s="19">
        <f>$B161*'Teva Payments'!C$26</f>
        <v>1817.7361807646212</v>
      </c>
      <c r="F161" s="19">
        <v>1860.68</v>
      </c>
      <c r="G161" s="19">
        <f>$B161*'Teva Payments'!E$26</f>
        <v>2029.3163338845529</v>
      </c>
      <c r="H161" s="19">
        <f>$B161*'Teva Payments'!F$26</f>
        <v>2029.3163338845532</v>
      </c>
      <c r="I161" s="19">
        <f>$B161*'Teva Payments'!G$26</f>
        <v>2029.3163338845532</v>
      </c>
      <c r="J161" s="19">
        <f>$B161*'Teva Payments'!H$26</f>
        <v>2029.3163338845532</v>
      </c>
      <c r="K161" s="19">
        <f>$B161*'Teva Payments'!I$26</f>
        <v>2029.3163337949898</v>
      </c>
      <c r="L161" s="19">
        <f>$B161*'Teva Payments'!J$26</f>
        <v>2029.3163337949898</v>
      </c>
      <c r="M161" s="19">
        <f>$B161*'Teva Payments'!K$26</f>
        <v>2029.3163337949898</v>
      </c>
      <c r="N161" s="19">
        <f>$B161*'Teva Payments'!L$26</f>
        <v>2029.3163337949898</v>
      </c>
      <c r="O161" s="19">
        <f>$B161*'Teva Payments'!M$26</f>
        <v>2029.3163337949898</v>
      </c>
      <c r="P161" s="19">
        <f>$B161*'Teva Payments'!N$26</f>
        <v>2029.3163337949898</v>
      </c>
      <c r="Q161" s="19">
        <f>$B161*'Teva Payments'!O$26</f>
        <v>2029.3345599138258</v>
      </c>
      <c r="R161" s="39" t="s">
        <v>346</v>
      </c>
      <c r="S161" s="7">
        <f t="shared" si="10"/>
        <v>26000.914078986596</v>
      </c>
    </row>
    <row r="162" spans="1:19" x14ac:dyDescent="0.35">
      <c r="A162" s="3" t="s">
        <v>75</v>
      </c>
      <c r="B162" s="16">
        <v>8.6511046550880003E-2</v>
      </c>
      <c r="C162" s="8" t="s">
        <v>75</v>
      </c>
      <c r="D162" s="33" t="str">
        <f t="shared" si="11"/>
        <v>No</v>
      </c>
      <c r="E162" s="19">
        <f>$B162*'Teva Payments'!C$26</f>
        <v>289341.57004487817</v>
      </c>
      <c r="F162" s="19">
        <v>296177.14</v>
      </c>
      <c r="G162" s="19">
        <f>$B162*'Teva Payments'!E$26</f>
        <v>323020.23823769885</v>
      </c>
      <c r="H162" s="19">
        <f>$B162*'Teva Payments'!F$26</f>
        <v>323020.23823769891</v>
      </c>
      <c r="I162" s="19">
        <f>$B162*'Teva Payments'!G$26</f>
        <v>323020.23823769891</v>
      </c>
      <c r="J162" s="19">
        <f>$B162*'Teva Payments'!H$26</f>
        <v>323020.23823769891</v>
      </c>
      <c r="K162" s="19">
        <f>$B162*'Teva Payments'!I$26</f>
        <v>323020.23822344252</v>
      </c>
      <c r="L162" s="19">
        <f>$B162*'Teva Payments'!J$26</f>
        <v>323020.23822344252</v>
      </c>
      <c r="M162" s="19">
        <f>$B162*'Teva Payments'!K$26</f>
        <v>323020.23822344252</v>
      </c>
      <c r="N162" s="19">
        <f>$B162*'Teva Payments'!L$26</f>
        <v>323020.23822344252</v>
      </c>
      <c r="O162" s="19">
        <f>$B162*'Teva Payments'!M$26</f>
        <v>323020.23822344252</v>
      </c>
      <c r="P162" s="19">
        <f>$B162*'Teva Payments'!N$26</f>
        <v>323020.23822344252</v>
      </c>
      <c r="Q162" s="19">
        <f>$B162*'Teva Payments'!O$26</f>
        <v>323023.1394001345</v>
      </c>
      <c r="R162" s="39" t="s">
        <v>346</v>
      </c>
      <c r="S162" s="7">
        <f t="shared" si="10"/>
        <v>4138744.2317364626</v>
      </c>
    </row>
    <row r="163" spans="1:19" x14ac:dyDescent="0.35">
      <c r="A163" s="3" t="s">
        <v>75</v>
      </c>
      <c r="B163" s="16">
        <v>6.4650348945139346E-4</v>
      </c>
      <c r="C163" s="8" t="s">
        <v>188</v>
      </c>
      <c r="D163" s="33" t="str">
        <f t="shared" si="11"/>
        <v>No</v>
      </c>
      <c r="E163" s="19">
        <f>$B163*'Teva Payments'!C$26</f>
        <v>2162.2710871650615</v>
      </c>
      <c r="F163" s="19">
        <v>2213.35</v>
      </c>
      <c r="G163" s="19">
        <f>$B163*'Teva Payments'!E$26</f>
        <v>2413.9542811017868</v>
      </c>
      <c r="H163" s="19">
        <f>$B163*'Teva Payments'!F$26</f>
        <v>2413.9542811017873</v>
      </c>
      <c r="I163" s="19">
        <f>$B163*'Teva Payments'!G$26</f>
        <v>2413.9542811017873</v>
      </c>
      <c r="J163" s="19">
        <f>$B163*'Teva Payments'!H$26</f>
        <v>2413.9542811017873</v>
      </c>
      <c r="K163" s="19">
        <f>$B163*'Teva Payments'!I$26</f>
        <v>2413.9542809952482</v>
      </c>
      <c r="L163" s="19">
        <f>$B163*'Teva Payments'!J$26</f>
        <v>2413.9542809952482</v>
      </c>
      <c r="M163" s="19">
        <f>$B163*'Teva Payments'!K$26</f>
        <v>2413.9542809952482</v>
      </c>
      <c r="N163" s="19">
        <f>$B163*'Teva Payments'!L$26</f>
        <v>2413.9542809952482</v>
      </c>
      <c r="O163" s="19">
        <f>$B163*'Teva Payments'!M$26</f>
        <v>2413.9542809952482</v>
      </c>
      <c r="P163" s="19">
        <f>$B163*'Teva Payments'!N$26</f>
        <v>2413.9542809952482</v>
      </c>
      <c r="Q163" s="19">
        <f>$B163*'Teva Payments'!O$26</f>
        <v>2413.975961704587</v>
      </c>
      <c r="R163" s="39" t="s">
        <v>346</v>
      </c>
      <c r="S163" s="7">
        <f t="shared" si="10"/>
        <v>30929.13985924828</v>
      </c>
    </row>
    <row r="164" spans="1:19" x14ac:dyDescent="0.35">
      <c r="A164" s="3" t="s">
        <v>34</v>
      </c>
      <c r="B164" s="16">
        <v>8.6236729860592748E-4</v>
      </c>
      <c r="C164" s="8" t="s">
        <v>189</v>
      </c>
      <c r="D164" s="33" t="str">
        <f t="shared" si="11"/>
        <v>No</v>
      </c>
      <c r="E164" s="19">
        <f>$B164*'Teva Payments'!C$26</f>
        <v>2884.2410083115706</v>
      </c>
      <c r="F164" s="19">
        <v>2952.38</v>
      </c>
      <c r="G164" s="19">
        <f>$B164*'Teva Payments'!E$26</f>
        <v>3219.9597779718911</v>
      </c>
      <c r="H164" s="19">
        <f>$B164*'Teva Payments'!F$26</f>
        <v>3219.9597779718915</v>
      </c>
      <c r="I164" s="19">
        <f>$B164*'Teva Payments'!G$26</f>
        <v>3219.9597779718915</v>
      </c>
      <c r="J164" s="19">
        <f>$B164*'Teva Payments'!H$26</f>
        <v>3219.9597779718915</v>
      </c>
      <c r="K164" s="19">
        <f>$B164*'Teva Payments'!I$26</f>
        <v>3219.9597778297793</v>
      </c>
      <c r="L164" s="19">
        <f>$B164*'Teva Payments'!J$26</f>
        <v>3219.9597778297793</v>
      </c>
      <c r="M164" s="19">
        <f>$B164*'Teva Payments'!K$26</f>
        <v>3219.9597778297793</v>
      </c>
      <c r="N164" s="19">
        <f>$B164*'Teva Payments'!L$26</f>
        <v>3219.9597778297793</v>
      </c>
      <c r="O164" s="19">
        <f>$B164*'Teva Payments'!M$26</f>
        <v>3219.9597778297793</v>
      </c>
      <c r="P164" s="19">
        <f>$B164*'Teva Payments'!N$26</f>
        <v>3219.9597778297793</v>
      </c>
      <c r="Q164" s="19">
        <f>$B164*'Teva Payments'!O$26</f>
        <v>3219.988697603686</v>
      </c>
      <c r="R164" s="39" t="s">
        <v>346</v>
      </c>
      <c r="S164" s="7">
        <f t="shared" si="10"/>
        <v>41256.207484781502</v>
      </c>
    </row>
    <row r="165" spans="1:19" x14ac:dyDescent="0.35">
      <c r="A165" s="3" t="s">
        <v>190</v>
      </c>
      <c r="B165" s="16">
        <v>3.4954682537600003E-3</v>
      </c>
      <c r="C165" s="8" t="s">
        <v>190</v>
      </c>
      <c r="D165" s="33" t="str">
        <f t="shared" si="11"/>
        <v>No</v>
      </c>
      <c r="E165" s="19">
        <f>$B165*'Teva Payments'!C$26</f>
        <v>11690.810745077724</v>
      </c>
      <c r="F165" s="19">
        <v>11967</v>
      </c>
      <c r="G165" s="19">
        <f>$B165*'Teva Payments'!E$26</f>
        <v>13051.593213796154</v>
      </c>
      <c r="H165" s="19">
        <f>$B165*'Teva Payments'!F$26</f>
        <v>13051.593213796155</v>
      </c>
      <c r="I165" s="19">
        <f>$B165*'Teva Payments'!G$26</f>
        <v>13051.593213796155</v>
      </c>
      <c r="J165" s="19">
        <f>$B165*'Teva Payments'!H$26</f>
        <v>13051.593213796155</v>
      </c>
      <c r="K165" s="19">
        <f>$B165*'Teva Payments'!I$26</f>
        <v>13051.593213220127</v>
      </c>
      <c r="L165" s="19">
        <f>$B165*'Teva Payments'!J$26</f>
        <v>13051.593213220127</v>
      </c>
      <c r="M165" s="19">
        <f>$B165*'Teva Payments'!K$26</f>
        <v>13051.593213220127</v>
      </c>
      <c r="N165" s="19">
        <f>$B165*'Teva Payments'!L$26</f>
        <v>13051.593213220127</v>
      </c>
      <c r="O165" s="19">
        <f>$B165*'Teva Payments'!M$26</f>
        <v>13051.593213220127</v>
      </c>
      <c r="P165" s="19">
        <f>$B165*'Teva Payments'!N$26</f>
        <v>13051.593213220127</v>
      </c>
      <c r="Q165" s="19">
        <f>$B165*'Teva Payments'!O$26</f>
        <v>13051.710434909492</v>
      </c>
      <c r="R165" s="39" t="s">
        <v>346</v>
      </c>
      <c r="S165" s="7">
        <f t="shared" si="10"/>
        <v>167225.4533144926</v>
      </c>
    </row>
    <row r="166" spans="1:19" x14ac:dyDescent="0.35">
      <c r="A166" s="3" t="s">
        <v>60</v>
      </c>
      <c r="B166" s="16">
        <v>1.1882634073892149E-6</v>
      </c>
      <c r="C166" s="8" t="s">
        <v>191</v>
      </c>
      <c r="D166" s="33" t="str">
        <f t="shared" si="11"/>
        <v>Yes</v>
      </c>
      <c r="E166" s="19">
        <f>B166*'Teva Payments'!$Q$26</f>
        <v>57.2159879210488</v>
      </c>
      <c r="F166" s="19">
        <v>0</v>
      </c>
      <c r="G166" s="52">
        <f>$B166*'Teva Payments'!E$26</f>
        <v>4.4368106068195479</v>
      </c>
      <c r="H166" s="52">
        <f>$B166*'Teva Payments'!F$26</f>
        <v>4.4368106068195479</v>
      </c>
      <c r="I166" s="52">
        <f>$B166*'Teva Payments'!G$26</f>
        <v>4.4368106068195479</v>
      </c>
      <c r="J166" s="52">
        <f>$B166*'Teva Payments'!H$26</f>
        <v>4.4368106068195479</v>
      </c>
      <c r="K166" s="52">
        <f>$B166*'Teva Payments'!I$26</f>
        <v>4.4368106066237303</v>
      </c>
      <c r="L166" s="52">
        <f>$B166*'Teva Payments'!J$26</f>
        <v>4.4368106066237303</v>
      </c>
      <c r="M166" s="52">
        <f>$B166*'Teva Payments'!K$26</f>
        <v>4.4368106066237303</v>
      </c>
      <c r="N166" s="52">
        <f>$B166*'Teva Payments'!L$26</f>
        <v>4.4368106066237303</v>
      </c>
      <c r="O166" s="52">
        <f>$B166*'Teva Payments'!M$26</f>
        <v>4.4368106066237303</v>
      </c>
      <c r="P166" s="52">
        <f>$B166*'Teva Payments'!N$26</f>
        <v>4.4368106066237303</v>
      </c>
      <c r="Q166" s="52">
        <f>$B166*'Teva Payments'!O$26</f>
        <v>4.4368504554319337</v>
      </c>
      <c r="R166" s="39" t="s">
        <v>346</v>
      </c>
      <c r="S166" s="7">
        <f>E166</f>
        <v>57.2159879210488</v>
      </c>
    </row>
    <row r="167" spans="1:19" x14ac:dyDescent="0.35">
      <c r="A167" s="3" t="s">
        <v>192</v>
      </c>
      <c r="B167" s="16">
        <v>1.8731634511339281E-4</v>
      </c>
      <c r="C167" s="8" t="s">
        <v>193</v>
      </c>
      <c r="D167" s="33" t="str">
        <f t="shared" si="11"/>
        <v>No</v>
      </c>
      <c r="E167" s="19">
        <f>$B167*'Teva Payments'!C$26</f>
        <v>626.49115403200506</v>
      </c>
      <c r="F167" s="19">
        <v>641.29</v>
      </c>
      <c r="G167" s="19">
        <f>$B167*'Teva Payments'!E$26</f>
        <v>699.413229138975</v>
      </c>
      <c r="H167" s="19">
        <f>$B167*'Teva Payments'!F$26</f>
        <v>699.41322913897511</v>
      </c>
      <c r="I167" s="19">
        <f>$B167*'Teva Payments'!G$26</f>
        <v>699.41322913897511</v>
      </c>
      <c r="J167" s="19">
        <f>$B167*'Teva Payments'!H$26</f>
        <v>699.41322913897511</v>
      </c>
      <c r="K167" s="19">
        <f>$B167*'Teva Payments'!I$26</f>
        <v>699.41322910810663</v>
      </c>
      <c r="L167" s="19">
        <f>$B167*'Teva Payments'!J$26</f>
        <v>699.41322910810663</v>
      </c>
      <c r="M167" s="19">
        <f>$B167*'Teva Payments'!K$26</f>
        <v>699.41322910810663</v>
      </c>
      <c r="N167" s="19">
        <f>$B167*'Teva Payments'!L$26</f>
        <v>699.41322910810663</v>
      </c>
      <c r="O167" s="19">
        <f>$B167*'Teva Payments'!M$26</f>
        <v>699.41322910810663</v>
      </c>
      <c r="P167" s="19">
        <f>$B167*'Teva Payments'!N$26</f>
        <v>699.41322910810663</v>
      </c>
      <c r="Q167" s="19">
        <f>$B167*'Teva Payments'!O$26</f>
        <v>699.41951082398157</v>
      </c>
      <c r="R167" s="39" t="s">
        <v>346</v>
      </c>
      <c r="S167" s="7">
        <f t="shared" si="10"/>
        <v>8961.3329560605271</v>
      </c>
    </row>
    <row r="168" spans="1:19" x14ac:dyDescent="0.35">
      <c r="A168" s="3" t="s">
        <v>192</v>
      </c>
      <c r="B168" s="16">
        <v>6.0352741926400005E-3</v>
      </c>
      <c r="C168" s="8" t="s">
        <v>192</v>
      </c>
      <c r="D168" s="33" t="str">
        <f t="shared" si="11"/>
        <v>No</v>
      </c>
      <c r="E168" s="19">
        <f>$B168*'Teva Payments'!C$26</f>
        <v>20185.349503577694</v>
      </c>
      <c r="F168" s="19">
        <v>20662.22</v>
      </c>
      <c r="G168" s="19">
        <f>$B168*'Teva Payments'!E$26</f>
        <v>22534.876010196389</v>
      </c>
      <c r="H168" s="19">
        <f>$B168*'Teva Payments'!F$26</f>
        <v>22534.876010196389</v>
      </c>
      <c r="I168" s="19">
        <f>$B168*'Teva Payments'!G$26</f>
        <v>22534.876010196389</v>
      </c>
      <c r="J168" s="19">
        <f>$B168*'Teva Payments'!H$26</f>
        <v>22534.876010196389</v>
      </c>
      <c r="K168" s="19">
        <f>$B168*'Teva Payments'!I$26</f>
        <v>22534.87600920182</v>
      </c>
      <c r="L168" s="19">
        <f>$B168*'Teva Payments'!J$26</f>
        <v>22534.87600920182</v>
      </c>
      <c r="M168" s="19">
        <f>$B168*'Teva Payments'!K$26</f>
        <v>22534.87600920182</v>
      </c>
      <c r="N168" s="19">
        <f>$B168*'Teva Payments'!L$26</f>
        <v>22534.87600920182</v>
      </c>
      <c r="O168" s="19">
        <f>$B168*'Teva Payments'!M$26</f>
        <v>22534.87600920182</v>
      </c>
      <c r="P168" s="19">
        <f>$B168*'Teva Payments'!N$26</f>
        <v>22534.87600920182</v>
      </c>
      <c r="Q168" s="19">
        <f>$B168*'Teva Payments'!O$26</f>
        <v>22535.078404127271</v>
      </c>
      <c r="R168" s="39" t="s">
        <v>346</v>
      </c>
      <c r="S168" s="7">
        <f t="shared" si="10"/>
        <v>288731.40800370136</v>
      </c>
    </row>
    <row r="169" spans="1:19" x14ac:dyDescent="0.35">
      <c r="A169" s="3" t="s">
        <v>194</v>
      </c>
      <c r="B169" s="16">
        <v>2.7857703115200002E-3</v>
      </c>
      <c r="C169" s="8" t="s">
        <v>194</v>
      </c>
      <c r="D169" s="33" t="str">
        <f t="shared" si="11"/>
        <v>No</v>
      </c>
      <c r="E169" s="19">
        <f>$B169*'Teva Payments'!C$26</f>
        <v>9317.1818843452329</v>
      </c>
      <c r="F169" s="19">
        <v>9537.2999999999993</v>
      </c>
      <c r="G169" s="19">
        <f>$B169*'Teva Payments'!E$26</f>
        <v>10401.679618723161</v>
      </c>
      <c r="H169" s="19">
        <f>$B169*'Teva Payments'!F$26</f>
        <v>10401.679618723161</v>
      </c>
      <c r="I169" s="19">
        <f>$B169*'Teva Payments'!G$26</f>
        <v>10401.679618723161</v>
      </c>
      <c r="J169" s="19">
        <f>$B169*'Teva Payments'!H$26</f>
        <v>10401.679618723161</v>
      </c>
      <c r="K169" s="19">
        <f>$B169*'Teva Payments'!I$26</f>
        <v>10401.679618264086</v>
      </c>
      <c r="L169" s="19">
        <f>$B169*'Teva Payments'!J$26</f>
        <v>10401.679618264086</v>
      </c>
      <c r="M169" s="19">
        <f>$B169*'Teva Payments'!K$26</f>
        <v>10401.679618264086</v>
      </c>
      <c r="N169" s="19">
        <f>$B169*'Teva Payments'!L$26</f>
        <v>10401.679618264086</v>
      </c>
      <c r="O169" s="19">
        <f>$B169*'Teva Payments'!M$26</f>
        <v>10401.679618264086</v>
      </c>
      <c r="P169" s="19">
        <f>$B169*'Teva Payments'!N$26</f>
        <v>10401.679618264086</v>
      </c>
      <c r="Q169" s="19">
        <f>$B169*'Teva Payments'!O$26</f>
        <v>10401.773039997141</v>
      </c>
      <c r="R169" s="39" t="s">
        <v>346</v>
      </c>
      <c r="S169" s="7">
        <f t="shared" si="10"/>
        <v>133273.05110881952</v>
      </c>
    </row>
    <row r="170" spans="1:19" x14ac:dyDescent="0.35">
      <c r="A170" s="3" t="s">
        <v>52</v>
      </c>
      <c r="B170" s="16">
        <v>1.9846587479771158E-3</v>
      </c>
      <c r="C170" s="8" t="s">
        <v>52</v>
      </c>
      <c r="D170" s="33" t="str">
        <f t="shared" si="11"/>
        <v>No</v>
      </c>
      <c r="E170" s="19">
        <f>$B170*'Teva Payments'!C$26</f>
        <v>6637.8144877171135</v>
      </c>
      <c r="F170" s="19">
        <v>6794.63</v>
      </c>
      <c r="G170" s="19">
        <f>$B170*'Teva Payments'!E$26</f>
        <v>7410.4402518707011</v>
      </c>
      <c r="H170" s="19">
        <f>$B170*'Teva Payments'!F$26</f>
        <v>7410.440251870702</v>
      </c>
      <c r="I170" s="19">
        <f>$B170*'Teva Payments'!G$26</f>
        <v>7410.440251870702</v>
      </c>
      <c r="J170" s="19">
        <f>$B170*'Teva Payments'!H$26</f>
        <v>7410.440251870702</v>
      </c>
      <c r="K170" s="19">
        <f>$B170*'Teva Payments'!I$26</f>
        <v>7410.4402515436441</v>
      </c>
      <c r="L170" s="19">
        <f>$B170*'Teva Payments'!J$26</f>
        <v>7410.4402515436441</v>
      </c>
      <c r="M170" s="19">
        <f>$B170*'Teva Payments'!K$26</f>
        <v>7410.4402515436441</v>
      </c>
      <c r="N170" s="19">
        <f>$B170*'Teva Payments'!L$26</f>
        <v>7410.4402515436441</v>
      </c>
      <c r="O170" s="19">
        <f>$B170*'Teva Payments'!M$26</f>
        <v>7410.4402515436441</v>
      </c>
      <c r="P170" s="19">
        <f>$B170*'Teva Payments'!N$26</f>
        <v>7410.4402515436441</v>
      </c>
      <c r="Q170" s="19">
        <f>$B170*'Teva Payments'!O$26</f>
        <v>7410.5068077342203</v>
      </c>
      <c r="R170" s="39" t="s">
        <v>346</v>
      </c>
      <c r="S170" s="7">
        <f t="shared" si="10"/>
        <v>94947.353812195986</v>
      </c>
    </row>
    <row r="171" spans="1:19" x14ac:dyDescent="0.35">
      <c r="A171" s="3" t="s">
        <v>22</v>
      </c>
      <c r="B171" s="16">
        <v>3.1054294121660652E-4</v>
      </c>
      <c r="C171" s="8" t="s">
        <v>195</v>
      </c>
      <c r="D171" s="33" t="str">
        <f t="shared" si="11"/>
        <v>No</v>
      </c>
      <c r="E171" s="19">
        <f>$B171*'Teva Payments'!C$26</f>
        <v>1038.6301606595609</v>
      </c>
      <c r="F171" s="19">
        <v>1063.17</v>
      </c>
      <c r="G171" s="19">
        <f>$B171*'Teva Payments'!E$26</f>
        <v>1159.5242325016536</v>
      </c>
      <c r="H171" s="19">
        <f>$B171*'Teva Payments'!F$26</f>
        <v>1159.5242325016536</v>
      </c>
      <c r="I171" s="19">
        <f>$B171*'Teva Payments'!G$26</f>
        <v>1159.5242325016536</v>
      </c>
      <c r="J171" s="19">
        <f>$B171*'Teva Payments'!H$26</f>
        <v>1159.5242325016536</v>
      </c>
      <c r="K171" s="19">
        <f>$B171*'Teva Payments'!I$26</f>
        <v>1159.5242324504784</v>
      </c>
      <c r="L171" s="19">
        <f>$B171*'Teva Payments'!J$26</f>
        <v>1159.5242324504784</v>
      </c>
      <c r="M171" s="19">
        <f>$B171*'Teva Payments'!K$26</f>
        <v>1159.5242324504784</v>
      </c>
      <c r="N171" s="19">
        <f>$B171*'Teva Payments'!L$26</f>
        <v>1159.5242324504784</v>
      </c>
      <c r="O171" s="19">
        <f>$B171*'Teva Payments'!M$26</f>
        <v>1159.5242324504784</v>
      </c>
      <c r="P171" s="19">
        <f>$B171*'Teva Payments'!N$26</f>
        <v>1159.5242324504784</v>
      </c>
      <c r="Q171" s="19">
        <f>$B171*'Teva Payments'!O$26</f>
        <v>1159.5346466111994</v>
      </c>
      <c r="R171" s="39" t="s">
        <v>346</v>
      </c>
      <c r="S171" s="7">
        <f t="shared" si="10"/>
        <v>14856.577131980241</v>
      </c>
    </row>
    <row r="172" spans="1:19" x14ac:dyDescent="0.35">
      <c r="A172" s="3" t="s">
        <v>196</v>
      </c>
      <c r="B172" s="16">
        <v>9.4422835263283285E-4</v>
      </c>
      <c r="C172" s="8" t="s">
        <v>196</v>
      </c>
      <c r="D172" s="33" t="str">
        <f t="shared" si="11"/>
        <v>No</v>
      </c>
      <c r="E172" s="19">
        <f>$B172*'Teva Payments'!C$26</f>
        <v>3158.0303894600579</v>
      </c>
      <c r="F172" s="19">
        <v>3232.64</v>
      </c>
      <c r="G172" s="19">
        <f>$B172*'Teva Payments'!E$26</f>
        <v>3525.6175896434702</v>
      </c>
      <c r="H172" s="19">
        <f>$B172*'Teva Payments'!F$26</f>
        <v>3525.6175896434706</v>
      </c>
      <c r="I172" s="19">
        <f>$B172*'Teva Payments'!G$26</f>
        <v>3525.6175896434706</v>
      </c>
      <c r="J172" s="19">
        <f>$B172*'Teva Payments'!H$26</f>
        <v>3525.6175896434706</v>
      </c>
      <c r="K172" s="19">
        <f>$B172*'Teva Payments'!I$26</f>
        <v>3525.6175894878688</v>
      </c>
      <c r="L172" s="19">
        <f>$B172*'Teva Payments'!J$26</f>
        <v>3525.6175894878688</v>
      </c>
      <c r="M172" s="19">
        <f>$B172*'Teva Payments'!K$26</f>
        <v>3525.6175894878688</v>
      </c>
      <c r="N172" s="19">
        <f>$B172*'Teva Payments'!L$26</f>
        <v>3525.6175894878688</v>
      </c>
      <c r="O172" s="19">
        <f>$B172*'Teva Payments'!M$26</f>
        <v>3525.6175894878688</v>
      </c>
      <c r="P172" s="19">
        <f>$B172*'Teva Payments'!N$26</f>
        <v>3525.6175894878688</v>
      </c>
      <c r="Q172" s="19">
        <f>$B172*'Teva Payments'!O$26</f>
        <v>3525.6492544994226</v>
      </c>
      <c r="R172" s="39" t="s">
        <v>346</v>
      </c>
      <c r="S172" s="7">
        <f t="shared" si="10"/>
        <v>45172.495539460579</v>
      </c>
    </row>
    <row r="173" spans="1:19" x14ac:dyDescent="0.35">
      <c r="A173" s="3" t="s">
        <v>90</v>
      </c>
      <c r="B173" s="16">
        <v>4.2307814899981359E-4</v>
      </c>
      <c r="C173" s="8" t="s">
        <v>197</v>
      </c>
      <c r="D173" s="33" t="str">
        <f t="shared" si="11"/>
        <v>No</v>
      </c>
      <c r="E173" s="19">
        <f>$B173*'Teva Payments'!C$26</f>
        <v>1415.0111548042735</v>
      </c>
      <c r="F173" s="19">
        <v>1448.44</v>
      </c>
      <c r="G173" s="19">
        <f>$B173*'Teva Payments'!E$26</f>
        <v>1579.7150760707598</v>
      </c>
      <c r="H173" s="19">
        <f>$B173*'Teva Payments'!F$26</f>
        <v>1579.71507607076</v>
      </c>
      <c r="I173" s="19">
        <f>$B173*'Teva Payments'!G$26</f>
        <v>1579.71507607076</v>
      </c>
      <c r="J173" s="19">
        <f>$B173*'Teva Payments'!H$26</f>
        <v>1579.71507607076</v>
      </c>
      <c r="K173" s="19">
        <f>$B173*'Teva Payments'!I$26</f>
        <v>1579.7150760010397</v>
      </c>
      <c r="L173" s="19">
        <f>$B173*'Teva Payments'!J$26</f>
        <v>1579.7150760010397</v>
      </c>
      <c r="M173" s="19">
        <f>$B173*'Teva Payments'!K$26</f>
        <v>1579.7150760010397</v>
      </c>
      <c r="N173" s="19">
        <f>$B173*'Teva Payments'!L$26</f>
        <v>1579.7150760010397</v>
      </c>
      <c r="O173" s="19">
        <f>$B173*'Teva Payments'!M$26</f>
        <v>1579.7150760010397</v>
      </c>
      <c r="P173" s="19">
        <f>$B173*'Teva Payments'!N$26</f>
        <v>1579.7150760010397</v>
      </c>
      <c r="Q173" s="19">
        <f>$B173*'Teva Payments'!O$26</f>
        <v>1579.729264067347</v>
      </c>
      <c r="R173" s="39" t="s">
        <v>346</v>
      </c>
      <c r="S173" s="7">
        <f t="shared" si="10"/>
        <v>20240.331179160898</v>
      </c>
    </row>
    <row r="174" spans="1:19" x14ac:dyDescent="0.35">
      <c r="A174" s="3" t="s">
        <v>198</v>
      </c>
      <c r="B174" s="16">
        <v>1.8064208801171536E-3</v>
      </c>
      <c r="C174" s="8" t="s">
        <v>199</v>
      </c>
      <c r="D174" s="33" t="str">
        <f t="shared" si="11"/>
        <v>No</v>
      </c>
      <c r="E174" s="19">
        <f>$B174*'Teva Payments'!C$26</f>
        <v>6041.6868648970385</v>
      </c>
      <c r="F174" s="19">
        <v>6184.42</v>
      </c>
      <c r="G174" s="19">
        <f>$B174*'Teva Payments'!E$26</f>
        <v>6744.9247965092509</v>
      </c>
      <c r="H174" s="19">
        <f>$B174*'Teva Payments'!F$26</f>
        <v>6744.9247965092518</v>
      </c>
      <c r="I174" s="19">
        <f>$B174*'Teva Payments'!G$26</f>
        <v>6744.9247965092518</v>
      </c>
      <c r="J174" s="19">
        <f>$B174*'Teva Payments'!H$26</f>
        <v>6744.9247965092518</v>
      </c>
      <c r="K174" s="19">
        <f>$B174*'Teva Payments'!I$26</f>
        <v>6744.9247962115669</v>
      </c>
      <c r="L174" s="19">
        <f>$B174*'Teva Payments'!J$26</f>
        <v>6744.9247962115669</v>
      </c>
      <c r="M174" s="19">
        <f>$B174*'Teva Payments'!K$26</f>
        <v>6744.9247962115669</v>
      </c>
      <c r="N174" s="19">
        <f>$B174*'Teva Payments'!L$26</f>
        <v>6744.9247962115669</v>
      </c>
      <c r="O174" s="19">
        <f>$B174*'Teva Payments'!M$26</f>
        <v>6744.9247962115669</v>
      </c>
      <c r="P174" s="19">
        <f>$B174*'Teva Payments'!N$26</f>
        <v>6744.9247962115669</v>
      </c>
      <c r="Q174" s="19">
        <f>$B174*'Teva Payments'!O$26</f>
        <v>6744.9853751360197</v>
      </c>
      <c r="R174" s="39" t="s">
        <v>346</v>
      </c>
      <c r="S174" s="7">
        <f t="shared" si="10"/>
        <v>86420.340203339467</v>
      </c>
    </row>
    <row r="175" spans="1:19" x14ac:dyDescent="0.35">
      <c r="A175" s="3" t="s">
        <v>200</v>
      </c>
      <c r="B175" s="16">
        <v>3.2176018624034916E-3</v>
      </c>
      <c r="C175" s="8" t="s">
        <v>200</v>
      </c>
      <c r="D175" s="33" t="str">
        <f t="shared" si="11"/>
        <v>No</v>
      </c>
      <c r="E175" s="19">
        <f>$B175*'Teva Payments'!C$26</f>
        <v>10761.469335590649</v>
      </c>
      <c r="F175" s="19">
        <v>11015.7</v>
      </c>
      <c r="G175" s="19">
        <f>$B175*'Teva Payments'!E$26</f>
        <v>12014.078682268202</v>
      </c>
      <c r="H175" s="19">
        <f>$B175*'Teva Payments'!F$26</f>
        <v>12014.078682268202</v>
      </c>
      <c r="I175" s="19">
        <f>$B175*'Teva Payments'!G$26</f>
        <v>12014.078682268202</v>
      </c>
      <c r="J175" s="19">
        <f>$B175*'Teva Payments'!H$26</f>
        <v>12014.078682268202</v>
      </c>
      <c r="K175" s="19">
        <f>$B175*'Teva Payments'!I$26</f>
        <v>12014.078681737965</v>
      </c>
      <c r="L175" s="19">
        <f>$B175*'Teva Payments'!J$26</f>
        <v>12014.078681737965</v>
      </c>
      <c r="M175" s="19">
        <f>$B175*'Teva Payments'!K$26</f>
        <v>12014.078681737965</v>
      </c>
      <c r="N175" s="19">
        <f>$B175*'Teva Payments'!L$26</f>
        <v>12014.078681737965</v>
      </c>
      <c r="O175" s="19">
        <f>$B175*'Teva Payments'!M$26</f>
        <v>12014.078681737965</v>
      </c>
      <c r="P175" s="19">
        <f>$B175*'Teva Payments'!N$26</f>
        <v>12014.078681737965</v>
      </c>
      <c r="Q175" s="19">
        <f>$B175*'Teva Payments'!O$26</f>
        <v>12014.186585085567</v>
      </c>
      <c r="R175" s="39" t="s">
        <v>346</v>
      </c>
      <c r="S175" s="7">
        <f t="shared" si="10"/>
        <v>153932.14274017682</v>
      </c>
    </row>
    <row r="176" spans="1:19" x14ac:dyDescent="0.35">
      <c r="A176" s="3" t="s">
        <v>34</v>
      </c>
      <c r="B176" s="16">
        <v>3.840748936462473E-5</v>
      </c>
      <c r="C176" s="8" t="s">
        <v>201</v>
      </c>
      <c r="D176" s="33" t="str">
        <f t="shared" si="11"/>
        <v>Yes</v>
      </c>
      <c r="E176" s="19">
        <f>B176*'Teva Payments'!$Q$26</f>
        <v>1849.3563244469935</v>
      </c>
      <c r="F176" s="19">
        <v>0</v>
      </c>
      <c r="G176" s="52">
        <f>$B176*'Teva Payments'!E$26</f>
        <v>143.40823350664652</v>
      </c>
      <c r="H176" s="52">
        <f>$B176*'Teva Payments'!F$26</f>
        <v>143.40823350664652</v>
      </c>
      <c r="I176" s="52">
        <f>$B176*'Teva Payments'!G$26</f>
        <v>143.40823350664652</v>
      </c>
      <c r="J176" s="52">
        <f>$B176*'Teva Payments'!H$26</f>
        <v>143.40823350664652</v>
      </c>
      <c r="K176" s="52">
        <f>$B176*'Teva Payments'!I$26</f>
        <v>143.40823350031727</v>
      </c>
      <c r="L176" s="52">
        <f>$B176*'Teva Payments'!J$26</f>
        <v>143.40823350031727</v>
      </c>
      <c r="M176" s="52">
        <f>$B176*'Teva Payments'!K$26</f>
        <v>143.40823350031727</v>
      </c>
      <c r="N176" s="52">
        <f>$B176*'Teva Payments'!L$26</f>
        <v>143.40823350031727</v>
      </c>
      <c r="O176" s="52">
        <f>$B176*'Teva Payments'!M$26</f>
        <v>143.40823350031727</v>
      </c>
      <c r="P176" s="52">
        <f>$B176*'Teva Payments'!N$26</f>
        <v>143.40823350031727</v>
      </c>
      <c r="Q176" s="52">
        <f>$B176*'Teva Payments'!O$26</f>
        <v>143.40952150823514</v>
      </c>
      <c r="R176" s="39" t="s">
        <v>346</v>
      </c>
      <c r="S176" s="7">
        <f>E176</f>
        <v>1849.3563244469935</v>
      </c>
    </row>
    <row r="177" spans="1:19" x14ac:dyDescent="0.35">
      <c r="A177" s="3" t="s">
        <v>202</v>
      </c>
      <c r="B177" s="16">
        <v>5.9922724256234404E-4</v>
      </c>
      <c r="C177" s="8" t="s">
        <v>202</v>
      </c>
      <c r="D177" s="33" t="str">
        <f t="shared" si="11"/>
        <v>No</v>
      </c>
      <c r="E177" s="19">
        <f>$B177*'Teva Payments'!C$26</f>
        <v>2004.1527422128734</v>
      </c>
      <c r="F177" s="19">
        <v>2051.5</v>
      </c>
      <c r="G177" s="19">
        <f>$B177*'Teva Payments'!E$26</f>
        <v>2237.4313381721399</v>
      </c>
      <c r="H177" s="19">
        <f>$B177*'Teva Payments'!F$26</f>
        <v>2237.4313381721404</v>
      </c>
      <c r="I177" s="19">
        <f>$B177*'Teva Payments'!G$26</f>
        <v>2237.4313381721404</v>
      </c>
      <c r="J177" s="19">
        <f>$B177*'Teva Payments'!H$26</f>
        <v>2237.4313381721404</v>
      </c>
      <c r="K177" s="19">
        <f>$B177*'Teva Payments'!I$26</f>
        <v>2237.431338073392</v>
      </c>
      <c r="L177" s="19">
        <f>$B177*'Teva Payments'!J$26</f>
        <v>2237.431338073392</v>
      </c>
      <c r="M177" s="19">
        <f>$B177*'Teva Payments'!K$26</f>
        <v>2237.431338073392</v>
      </c>
      <c r="N177" s="19">
        <f>$B177*'Teva Payments'!L$26</f>
        <v>2237.431338073392</v>
      </c>
      <c r="O177" s="19">
        <f>$B177*'Teva Payments'!M$26</f>
        <v>2237.431338073392</v>
      </c>
      <c r="P177" s="19">
        <f>$B177*'Teva Payments'!N$26</f>
        <v>2237.431338073392</v>
      </c>
      <c r="Q177" s="19">
        <f>$B177*'Teva Payments'!O$26</f>
        <v>2237.4514333580828</v>
      </c>
      <c r="R177" s="39" t="s">
        <v>346</v>
      </c>
      <c r="S177" s="7">
        <f t="shared" si="10"/>
        <v>28667.417556699867</v>
      </c>
    </row>
    <row r="178" spans="1:19" x14ac:dyDescent="0.35">
      <c r="A178" s="3" t="s">
        <v>36</v>
      </c>
      <c r="B178" s="16">
        <v>2.6396387324336113E-5</v>
      </c>
      <c r="C178" s="8" t="s">
        <v>203</v>
      </c>
      <c r="D178" s="8" t="s">
        <v>338</v>
      </c>
      <c r="E178" s="19">
        <v>0</v>
      </c>
      <c r="F178" s="19">
        <v>0</v>
      </c>
      <c r="G178" s="19">
        <v>0</v>
      </c>
      <c r="H178" s="19">
        <v>0</v>
      </c>
      <c r="I178" s="19">
        <v>0</v>
      </c>
      <c r="J178" s="19">
        <v>0</v>
      </c>
      <c r="K178" s="19">
        <v>0</v>
      </c>
      <c r="L178" s="19">
        <v>0</v>
      </c>
      <c r="M178" s="19">
        <v>0</v>
      </c>
      <c r="N178" s="19">
        <v>0</v>
      </c>
      <c r="O178" s="19">
        <v>0</v>
      </c>
      <c r="P178" s="19">
        <v>0</v>
      </c>
      <c r="Q178" s="19">
        <v>0</v>
      </c>
      <c r="R178" s="39" t="s">
        <v>346</v>
      </c>
      <c r="S178" s="7">
        <f t="shared" si="10"/>
        <v>0</v>
      </c>
    </row>
    <row r="179" spans="1:19" x14ac:dyDescent="0.35">
      <c r="A179" s="3" t="s">
        <v>45</v>
      </c>
      <c r="B179" s="16">
        <v>7.1543601524750355E-5</v>
      </c>
      <c r="C179" s="8" t="s">
        <v>204</v>
      </c>
      <c r="D179" s="33" t="str">
        <f t="shared" ref="D179:D242" si="12">IF(B179&lt;0.000083,"Yes","No")</f>
        <v>Yes</v>
      </c>
      <c r="E179" s="19">
        <f>B179*'Teva Payments'!$Q$26</f>
        <v>3444.8909351355983</v>
      </c>
      <c r="F179" s="19">
        <v>0</v>
      </c>
      <c r="G179" s="52">
        <f>$B179*'Teva Payments'!E$26</f>
        <v>267.13387631157696</v>
      </c>
      <c r="H179" s="52">
        <f>$B179*'Teva Payments'!F$26</f>
        <v>267.13387631157701</v>
      </c>
      <c r="I179" s="52">
        <f>$B179*'Teva Payments'!G$26</f>
        <v>267.13387631157701</v>
      </c>
      <c r="J179" s="52">
        <f>$B179*'Teva Payments'!H$26</f>
        <v>267.13387631157701</v>
      </c>
      <c r="K179" s="52">
        <f>$B179*'Teva Payments'!I$26</f>
        <v>267.13387629978712</v>
      </c>
      <c r="L179" s="52">
        <f>$B179*'Teva Payments'!J$26</f>
        <v>267.13387629978712</v>
      </c>
      <c r="M179" s="52">
        <f>$B179*'Teva Payments'!K$26</f>
        <v>267.13387629978712</v>
      </c>
      <c r="N179" s="52">
        <f>$B179*'Teva Payments'!L$26</f>
        <v>267.13387629978712</v>
      </c>
      <c r="O179" s="52">
        <f>$B179*'Teva Payments'!M$26</f>
        <v>267.13387629978712</v>
      </c>
      <c r="P179" s="52">
        <f>$B179*'Teva Payments'!N$26</f>
        <v>267.13387629978712</v>
      </c>
      <c r="Q179" s="52">
        <f>$B179*'Teva Payments'!O$26</f>
        <v>267.13627553823676</v>
      </c>
      <c r="R179" s="39" t="s">
        <v>346</v>
      </c>
      <c r="S179" s="7">
        <f>E179</f>
        <v>3444.8909351355983</v>
      </c>
    </row>
    <row r="180" spans="1:19" x14ac:dyDescent="0.35">
      <c r="A180" s="3" t="s">
        <v>45</v>
      </c>
      <c r="B180" s="16">
        <v>1.256002277532938E-3</v>
      </c>
      <c r="C180" s="8" t="s">
        <v>205</v>
      </c>
      <c r="D180" s="33" t="str">
        <f t="shared" si="12"/>
        <v>No</v>
      </c>
      <c r="E180" s="19">
        <f>$B180*'Teva Payments'!C$26</f>
        <v>4200.777651529017</v>
      </c>
      <c r="F180" s="19">
        <v>4300.0200000000004</v>
      </c>
      <c r="G180" s="19">
        <f>$B180*'Teva Payments'!E$26</f>
        <v>4689.7381443324484</v>
      </c>
      <c r="H180" s="19">
        <f>$B180*'Teva Payments'!F$26</f>
        <v>4689.7381443324484</v>
      </c>
      <c r="I180" s="19">
        <f>$B180*'Teva Payments'!G$26</f>
        <v>4689.7381443324484</v>
      </c>
      <c r="J180" s="19">
        <f>$B180*'Teva Payments'!H$26</f>
        <v>4689.7381443324484</v>
      </c>
      <c r="K180" s="19">
        <f>$B180*'Teva Payments'!I$26</f>
        <v>4689.7381441254684</v>
      </c>
      <c r="L180" s="19">
        <f>$B180*'Teva Payments'!J$26</f>
        <v>4689.7381441254684</v>
      </c>
      <c r="M180" s="19">
        <f>$B180*'Teva Payments'!K$26</f>
        <v>4689.7381441254684</v>
      </c>
      <c r="N180" s="19">
        <f>$B180*'Teva Payments'!L$26</f>
        <v>4689.7381441254684</v>
      </c>
      <c r="O180" s="19">
        <f>$B180*'Teva Payments'!M$26</f>
        <v>4689.7381441254684</v>
      </c>
      <c r="P180" s="19">
        <f>$B180*'Teva Payments'!N$26</f>
        <v>4689.7381441254684</v>
      </c>
      <c r="Q180" s="19">
        <f>$B180*'Teva Payments'!O$26</f>
        <v>4689.7802645791899</v>
      </c>
      <c r="R180" s="39" t="s">
        <v>346</v>
      </c>
      <c r="S180" s="7">
        <f t="shared" si="10"/>
        <v>60087.959358190812</v>
      </c>
    </row>
    <row r="181" spans="1:19" x14ac:dyDescent="0.35">
      <c r="A181" s="3" t="s">
        <v>45</v>
      </c>
      <c r="B181" s="16">
        <v>1.7154393930240004E-2</v>
      </c>
      <c r="C181" s="8" t="s">
        <v>45</v>
      </c>
      <c r="D181" s="33" t="str">
        <f t="shared" si="12"/>
        <v>No</v>
      </c>
      <c r="E181" s="19">
        <f>$B181*'Teva Payments'!C$26</f>
        <v>57373.936287139761</v>
      </c>
      <c r="F181" s="19">
        <v>58729.37</v>
      </c>
      <c r="G181" s="19">
        <f>$B181*'Teva Payments'!E$26</f>
        <v>64052.125538794506</v>
      </c>
      <c r="H181" s="19">
        <f>$B181*'Teva Payments'!F$26</f>
        <v>64052.125538794513</v>
      </c>
      <c r="I181" s="19">
        <f>$B181*'Teva Payments'!G$26</f>
        <v>64052.125538794513</v>
      </c>
      <c r="J181" s="19">
        <f>$B181*'Teva Payments'!H$26</f>
        <v>64052.125538794513</v>
      </c>
      <c r="K181" s="19">
        <f>$B181*'Teva Payments'!I$26</f>
        <v>64052.125535967592</v>
      </c>
      <c r="L181" s="19">
        <f>$B181*'Teva Payments'!J$26</f>
        <v>64052.125535967592</v>
      </c>
      <c r="M181" s="19">
        <f>$B181*'Teva Payments'!K$26</f>
        <v>64052.125535967592</v>
      </c>
      <c r="N181" s="19">
        <f>$B181*'Teva Payments'!L$26</f>
        <v>64052.125535967592</v>
      </c>
      <c r="O181" s="19">
        <f>$B181*'Teva Payments'!M$26</f>
        <v>64052.125535967592</v>
      </c>
      <c r="P181" s="19">
        <f>$B181*'Teva Payments'!N$26</f>
        <v>64052.125535967592</v>
      </c>
      <c r="Q181" s="19">
        <f>$B181*'Teva Payments'!O$26</f>
        <v>64052.700814268108</v>
      </c>
      <c r="R181" s="39" t="s">
        <v>346</v>
      </c>
      <c r="S181" s="7">
        <f t="shared" si="10"/>
        <v>820677.26247239159</v>
      </c>
    </row>
    <row r="182" spans="1:19" x14ac:dyDescent="0.35">
      <c r="A182" s="3" t="s">
        <v>206</v>
      </c>
      <c r="B182" s="16">
        <v>6.9578341280000008E-3</v>
      </c>
      <c r="C182" s="8" t="s">
        <v>206</v>
      </c>
      <c r="D182" s="33" t="str">
        <f t="shared" si="12"/>
        <v>No</v>
      </c>
      <c r="E182" s="19">
        <f>$B182*'Teva Payments'!C$26</f>
        <v>23270.908525228999</v>
      </c>
      <c r="F182" s="19">
        <v>23820.67</v>
      </c>
      <c r="G182" s="19">
        <f>$B182*'Teva Payments'!E$26</f>
        <v>25979.586737782793</v>
      </c>
      <c r="H182" s="19">
        <f>$B182*'Teva Payments'!F$26</f>
        <v>25979.586737782796</v>
      </c>
      <c r="I182" s="19">
        <f>$B182*'Teva Payments'!G$26</f>
        <v>25979.586737782796</v>
      </c>
      <c r="J182" s="19">
        <f>$B182*'Teva Payments'!H$26</f>
        <v>25979.586737782796</v>
      </c>
      <c r="K182" s="19">
        <f>$B182*'Teva Payments'!I$26</f>
        <v>25979.586736636196</v>
      </c>
      <c r="L182" s="19">
        <f>$B182*'Teva Payments'!J$26</f>
        <v>25979.586736636196</v>
      </c>
      <c r="M182" s="19">
        <f>$B182*'Teva Payments'!K$26</f>
        <v>25979.586736636196</v>
      </c>
      <c r="N182" s="19">
        <f>$B182*'Teva Payments'!L$26</f>
        <v>25979.586736636196</v>
      </c>
      <c r="O182" s="19">
        <f>$B182*'Teva Payments'!M$26</f>
        <v>25979.586736636196</v>
      </c>
      <c r="P182" s="19">
        <f>$B182*'Teva Payments'!N$26</f>
        <v>25979.586736636196</v>
      </c>
      <c r="Q182" s="19">
        <f>$B182*'Teva Payments'!O$26</f>
        <v>25979.82006991563</v>
      </c>
      <c r="R182" s="39" t="s">
        <v>346</v>
      </c>
      <c r="S182" s="7">
        <f t="shared" si="10"/>
        <v>332867.26596609299</v>
      </c>
    </row>
    <row r="183" spans="1:19" x14ac:dyDescent="0.35">
      <c r="A183" s="3" t="s">
        <v>207</v>
      </c>
      <c r="B183" s="16">
        <v>9.8584816064000011E-4</v>
      </c>
      <c r="C183" s="8" t="s">
        <v>207</v>
      </c>
      <c r="D183" s="33" t="str">
        <f t="shared" si="12"/>
        <v>No</v>
      </c>
      <c r="E183" s="19">
        <f>$B183*'Teva Payments'!C$26</f>
        <v>3297.2304231422036</v>
      </c>
      <c r="F183" s="19">
        <v>3375.13</v>
      </c>
      <c r="G183" s="19">
        <f>$B183*'Teva Payments'!E$26</f>
        <v>3681.020175022848</v>
      </c>
      <c r="H183" s="19">
        <f>$B183*'Teva Payments'!F$26</f>
        <v>3681.0201750228484</v>
      </c>
      <c r="I183" s="19">
        <f>$B183*'Teva Payments'!G$26</f>
        <v>3681.0201750228484</v>
      </c>
      <c r="J183" s="19">
        <f>$B183*'Teva Payments'!H$26</f>
        <v>3681.0201750228484</v>
      </c>
      <c r="K183" s="19">
        <f>$B183*'Teva Payments'!I$26</f>
        <v>3681.0201748603877</v>
      </c>
      <c r="L183" s="19">
        <f>$B183*'Teva Payments'!J$26</f>
        <v>3681.0201748603877</v>
      </c>
      <c r="M183" s="19">
        <f>$B183*'Teva Payments'!K$26</f>
        <v>3681.0201748603877</v>
      </c>
      <c r="N183" s="19">
        <f>$B183*'Teva Payments'!L$26</f>
        <v>3681.0201748603877</v>
      </c>
      <c r="O183" s="19">
        <f>$B183*'Teva Payments'!M$26</f>
        <v>3681.0201748603877</v>
      </c>
      <c r="P183" s="19">
        <f>$B183*'Teva Payments'!N$26</f>
        <v>3681.0201748603877</v>
      </c>
      <c r="Q183" s="19">
        <f>$B183*'Teva Payments'!O$26</f>
        <v>3681.0532356060326</v>
      </c>
      <c r="R183" s="39" t="s">
        <v>346</v>
      </c>
      <c r="S183" s="7">
        <f t="shared" si="10"/>
        <v>47163.615408001955</v>
      </c>
    </row>
    <row r="184" spans="1:19" x14ac:dyDescent="0.35">
      <c r="A184" s="3" t="s">
        <v>75</v>
      </c>
      <c r="B184" s="16">
        <v>3.0056747918547061E-4</v>
      </c>
      <c r="C184" s="8" t="s">
        <v>208</v>
      </c>
      <c r="D184" s="33" t="str">
        <f t="shared" si="12"/>
        <v>No</v>
      </c>
      <c r="E184" s="19">
        <f>$B184*'Teva Payments'!C$26</f>
        <v>1005.2666081297184</v>
      </c>
      <c r="F184" s="19">
        <v>1029.02</v>
      </c>
      <c r="G184" s="19">
        <f>$B184*'Teva Payments'!E$26</f>
        <v>1122.2772420848457</v>
      </c>
      <c r="H184" s="19">
        <f>$B184*'Teva Payments'!F$26</f>
        <v>1122.277242084846</v>
      </c>
      <c r="I184" s="19">
        <f>$B184*'Teva Payments'!G$26</f>
        <v>1122.277242084846</v>
      </c>
      <c r="J184" s="19">
        <f>$B184*'Teva Payments'!H$26</f>
        <v>1122.277242084846</v>
      </c>
      <c r="K184" s="19">
        <f>$B184*'Teva Payments'!I$26</f>
        <v>1122.2772420353144</v>
      </c>
      <c r="L184" s="19">
        <f>$B184*'Teva Payments'!J$26</f>
        <v>1122.2772420353144</v>
      </c>
      <c r="M184" s="19">
        <f>$B184*'Teva Payments'!K$26</f>
        <v>1122.2772420353144</v>
      </c>
      <c r="N184" s="19">
        <f>$B184*'Teva Payments'!L$26</f>
        <v>1122.2772420353144</v>
      </c>
      <c r="O184" s="19">
        <f>$B184*'Teva Payments'!M$26</f>
        <v>1122.2772420353144</v>
      </c>
      <c r="P184" s="19">
        <f>$B184*'Teva Payments'!N$26</f>
        <v>1122.2772420353144</v>
      </c>
      <c r="Q184" s="19">
        <f>$B184*'Teva Payments'!O$26</f>
        <v>1122.2873216656017</v>
      </c>
      <c r="R184" s="39" t="s">
        <v>346</v>
      </c>
      <c r="S184" s="7">
        <f t="shared" si="10"/>
        <v>14379.346350346586</v>
      </c>
    </row>
    <row r="185" spans="1:19" x14ac:dyDescent="0.35">
      <c r="A185" s="3" t="s">
        <v>63</v>
      </c>
      <c r="B185" s="16">
        <v>1.4878159422548442E-4</v>
      </c>
      <c r="C185" s="8" t="s">
        <v>209</v>
      </c>
      <c r="D185" s="33" t="str">
        <f t="shared" si="12"/>
        <v>No</v>
      </c>
      <c r="E185" s="19">
        <f>$B185*'Teva Payments'!C$26</f>
        <v>497.60928555711422</v>
      </c>
      <c r="F185" s="19">
        <v>509.37</v>
      </c>
      <c r="G185" s="19">
        <f>$B185*'Teva Payments'!E$26</f>
        <v>555.52981877100819</v>
      </c>
      <c r="H185" s="19">
        <f>$B185*'Teva Payments'!F$26</f>
        <v>555.52981877100831</v>
      </c>
      <c r="I185" s="19">
        <f>$B185*'Teva Payments'!G$26</f>
        <v>555.52981877100831</v>
      </c>
      <c r="J185" s="19">
        <f>$B185*'Teva Payments'!H$26</f>
        <v>555.52981877100831</v>
      </c>
      <c r="K185" s="19">
        <f>$B185*'Teva Payments'!I$26</f>
        <v>555.52981874649015</v>
      </c>
      <c r="L185" s="19">
        <f>$B185*'Teva Payments'!J$26</f>
        <v>555.52981874649015</v>
      </c>
      <c r="M185" s="19">
        <f>$B185*'Teva Payments'!K$26</f>
        <v>555.52981874649015</v>
      </c>
      <c r="N185" s="19">
        <f>$B185*'Teva Payments'!L$26</f>
        <v>555.52981874649015</v>
      </c>
      <c r="O185" s="19">
        <f>$B185*'Teva Payments'!M$26</f>
        <v>555.52981874649015</v>
      </c>
      <c r="P185" s="19">
        <f>$B185*'Teva Payments'!N$26</f>
        <v>555.52981874649015</v>
      </c>
      <c r="Q185" s="19">
        <f>$B185*'Teva Payments'!O$26</f>
        <v>555.5348081866897</v>
      </c>
      <c r="R185" s="39" t="s">
        <v>346</v>
      </c>
      <c r="S185" s="7">
        <f t="shared" si="10"/>
        <v>7117.8122813067794</v>
      </c>
    </row>
    <row r="186" spans="1:19" x14ac:dyDescent="0.35">
      <c r="A186" s="3" t="s">
        <v>168</v>
      </c>
      <c r="B186" s="16">
        <v>2.1378856446827648E-4</v>
      </c>
      <c r="C186" s="8" t="s">
        <v>210</v>
      </c>
      <c r="D186" s="33" t="str">
        <f t="shared" si="12"/>
        <v>No</v>
      </c>
      <c r="E186" s="19">
        <f>$B186*'Teva Payments'!C$26</f>
        <v>715.02913636018832</v>
      </c>
      <c r="F186" s="19">
        <v>731.92</v>
      </c>
      <c r="G186" s="19">
        <f>$B186*'Teva Payments'!E$26</f>
        <v>798.25682129995971</v>
      </c>
      <c r="H186" s="19">
        <f>$B186*'Teva Payments'!F$26</f>
        <v>798.25682129995982</v>
      </c>
      <c r="I186" s="19">
        <f>$B186*'Teva Payments'!G$26</f>
        <v>798.25682129995982</v>
      </c>
      <c r="J186" s="19">
        <f>$B186*'Teva Payments'!H$26</f>
        <v>798.25682129995982</v>
      </c>
      <c r="K186" s="19">
        <f>$B186*'Teva Payments'!I$26</f>
        <v>798.25682126472896</v>
      </c>
      <c r="L186" s="19">
        <f>$B186*'Teva Payments'!J$26</f>
        <v>798.25682126472896</v>
      </c>
      <c r="M186" s="19">
        <f>$B186*'Teva Payments'!K$26</f>
        <v>798.25682126472896</v>
      </c>
      <c r="N186" s="19">
        <f>$B186*'Teva Payments'!L$26</f>
        <v>798.25682126472896</v>
      </c>
      <c r="O186" s="19">
        <f>$B186*'Teva Payments'!M$26</f>
        <v>798.25682126472896</v>
      </c>
      <c r="P186" s="19">
        <f>$B186*'Teva Payments'!N$26</f>
        <v>798.25682126472896</v>
      </c>
      <c r="Q186" s="19">
        <f>$B186*'Teva Payments'!O$26</f>
        <v>798.26399073527614</v>
      </c>
      <c r="R186" s="39" t="s">
        <v>346</v>
      </c>
      <c r="S186" s="7">
        <f t="shared" si="10"/>
        <v>10227.781339883679</v>
      </c>
    </row>
    <row r="187" spans="1:19" x14ac:dyDescent="0.35">
      <c r="A187" s="3" t="s">
        <v>63</v>
      </c>
      <c r="B187" s="16">
        <v>9.0106553717547258E-5</v>
      </c>
      <c r="C187" s="8" t="s">
        <v>211</v>
      </c>
      <c r="D187" s="33" t="str">
        <f t="shared" si="12"/>
        <v>No</v>
      </c>
      <c r="E187" s="19">
        <f>$B187*'Teva Payments'!C$26</f>
        <v>301.36696714950415</v>
      </c>
      <c r="F187" s="19">
        <v>308.49</v>
      </c>
      <c r="G187" s="19">
        <f>$B187*'Teva Payments'!E$26</f>
        <v>336.44536286475028</v>
      </c>
      <c r="H187" s="19">
        <f>$B187*'Teva Payments'!F$26</f>
        <v>336.44536286475034</v>
      </c>
      <c r="I187" s="19">
        <f>$B187*'Teva Payments'!G$26</f>
        <v>336.44536286475034</v>
      </c>
      <c r="J187" s="19">
        <f>$B187*'Teva Payments'!H$26</f>
        <v>336.44536286475034</v>
      </c>
      <c r="K187" s="19">
        <f>$B187*'Teva Payments'!I$26</f>
        <v>336.44536284990141</v>
      </c>
      <c r="L187" s="19">
        <f>$B187*'Teva Payments'!J$26</f>
        <v>336.44536284990141</v>
      </c>
      <c r="M187" s="19">
        <f>$B187*'Teva Payments'!K$26</f>
        <v>336.44536284990141</v>
      </c>
      <c r="N187" s="19">
        <f>$B187*'Teva Payments'!L$26</f>
        <v>336.44536284990141</v>
      </c>
      <c r="O187" s="19">
        <f>$B187*'Teva Payments'!M$26</f>
        <v>336.44536284990141</v>
      </c>
      <c r="P187" s="19">
        <f>$B187*'Teva Payments'!N$26</f>
        <v>336.44536284990141</v>
      </c>
      <c r="Q187" s="19">
        <f>$B187*'Teva Payments'!O$26</f>
        <v>336.44838460312099</v>
      </c>
      <c r="R187" s="39" t="s">
        <v>346</v>
      </c>
      <c r="S187" s="7">
        <f t="shared" si="10"/>
        <v>4310.7589803110341</v>
      </c>
    </row>
    <row r="188" spans="1:19" x14ac:dyDescent="0.35">
      <c r="A188" s="3" t="s">
        <v>105</v>
      </c>
      <c r="B188" s="16">
        <v>2.1563493333176328E-4</v>
      </c>
      <c r="C188" s="8" t="s">
        <v>212</v>
      </c>
      <c r="D188" s="33" t="str">
        <f t="shared" si="12"/>
        <v>No</v>
      </c>
      <c r="E188" s="19">
        <f>$B188*'Teva Payments'!C$26</f>
        <v>721.20443173739829</v>
      </c>
      <c r="F188" s="19">
        <v>738.24</v>
      </c>
      <c r="G188" s="19">
        <f>$B188*'Teva Payments'!E$26</f>
        <v>805.15090632073679</v>
      </c>
      <c r="H188" s="19">
        <f>$B188*'Teva Payments'!F$26</f>
        <v>805.15090632073691</v>
      </c>
      <c r="I188" s="19">
        <f>$B188*'Teva Payments'!G$26</f>
        <v>805.15090632073691</v>
      </c>
      <c r="J188" s="19">
        <f>$B188*'Teva Payments'!H$26</f>
        <v>805.15090632073691</v>
      </c>
      <c r="K188" s="19">
        <f>$B188*'Teva Payments'!I$26</f>
        <v>805.15090628520181</v>
      </c>
      <c r="L188" s="19">
        <f>$B188*'Teva Payments'!J$26</f>
        <v>805.15090628520181</v>
      </c>
      <c r="M188" s="19">
        <f>$B188*'Teva Payments'!K$26</f>
        <v>805.15090628520181</v>
      </c>
      <c r="N188" s="19">
        <f>$B188*'Teva Payments'!L$26</f>
        <v>805.15090628520181</v>
      </c>
      <c r="O188" s="19">
        <f>$B188*'Teva Payments'!M$26</f>
        <v>805.15090628520181</v>
      </c>
      <c r="P188" s="19">
        <f>$B188*'Teva Payments'!N$26</f>
        <v>805.15090628520181</v>
      </c>
      <c r="Q188" s="19">
        <f>$B188*'Teva Payments'!O$26</f>
        <v>805.15813767434236</v>
      </c>
      <c r="R188" s="39" t="s">
        <v>346</v>
      </c>
      <c r="S188" s="7">
        <f t="shared" si="10"/>
        <v>10316.111632405898</v>
      </c>
    </row>
    <row r="189" spans="1:19" x14ac:dyDescent="0.35">
      <c r="A189" s="3" t="s">
        <v>105</v>
      </c>
      <c r="B189" s="16">
        <v>1.0446192327570199E-3</v>
      </c>
      <c r="C189" s="8" t="s">
        <v>213</v>
      </c>
      <c r="D189" s="33" t="str">
        <f t="shared" si="12"/>
        <v>No</v>
      </c>
      <c r="E189" s="19">
        <f>$B189*'Teva Payments'!C$26</f>
        <v>3493.7939252327501</v>
      </c>
      <c r="F189" s="19">
        <v>3576.33</v>
      </c>
      <c r="G189" s="19">
        <f>$B189*'Teva Payments'!E$26</f>
        <v>3900.4631996261796</v>
      </c>
      <c r="H189" s="19">
        <f>$B189*'Teva Payments'!F$26</f>
        <v>3900.4631996261801</v>
      </c>
      <c r="I189" s="19">
        <f>$B189*'Teva Payments'!G$26</f>
        <v>3900.4631996261801</v>
      </c>
      <c r="J189" s="19">
        <f>$B189*'Teva Payments'!H$26</f>
        <v>3900.4631996261801</v>
      </c>
      <c r="K189" s="19">
        <f>$B189*'Teva Payments'!I$26</f>
        <v>3900.4631994540346</v>
      </c>
      <c r="L189" s="19">
        <f>$B189*'Teva Payments'!J$26</f>
        <v>3900.4631994540346</v>
      </c>
      <c r="M189" s="19">
        <f>$B189*'Teva Payments'!K$26</f>
        <v>3900.4631994540346</v>
      </c>
      <c r="N189" s="19">
        <f>$B189*'Teva Payments'!L$26</f>
        <v>3900.4631994540346</v>
      </c>
      <c r="O189" s="19">
        <f>$B189*'Teva Payments'!M$26</f>
        <v>3900.4631994540346</v>
      </c>
      <c r="P189" s="19">
        <f>$B189*'Teva Payments'!N$26</f>
        <v>3900.4631994540346</v>
      </c>
      <c r="Q189" s="19">
        <f>$B189*'Teva Payments'!O$26</f>
        <v>3900.4982311071112</v>
      </c>
      <c r="R189" s="39" t="s">
        <v>346</v>
      </c>
      <c r="S189" s="7">
        <f t="shared" si="10"/>
        <v>49975.254151568792</v>
      </c>
    </row>
    <row r="190" spans="1:19" x14ac:dyDescent="0.35">
      <c r="A190" s="3" t="s">
        <v>105</v>
      </c>
      <c r="B190" s="16">
        <v>1.9100374032320001E-2</v>
      </c>
      <c r="C190" s="8" t="s">
        <v>105</v>
      </c>
      <c r="D190" s="33" t="str">
        <f t="shared" si="12"/>
        <v>No</v>
      </c>
      <c r="E190" s="19">
        <f>$B190*'Teva Payments'!C$26</f>
        <v>63882.387640583613</v>
      </c>
      <c r="F190" s="19">
        <v>65391.58</v>
      </c>
      <c r="G190" s="19">
        <f>$B190*'Teva Payments'!E$26</f>
        <v>71318.145096308552</v>
      </c>
      <c r="H190" s="19">
        <f>$B190*'Teva Payments'!F$26</f>
        <v>71318.145096308566</v>
      </c>
      <c r="I190" s="19">
        <f>$B190*'Teva Payments'!G$26</f>
        <v>71318.145096308566</v>
      </c>
      <c r="J190" s="19">
        <f>$B190*'Teva Payments'!H$26</f>
        <v>71318.145096308566</v>
      </c>
      <c r="K190" s="19">
        <f>$B190*'Teva Payments'!I$26</f>
        <v>71318.145093160958</v>
      </c>
      <c r="L190" s="19">
        <f>$B190*'Teva Payments'!J$26</f>
        <v>71318.145093160958</v>
      </c>
      <c r="M190" s="19">
        <f>$B190*'Teva Payments'!K$26</f>
        <v>71318.145093160958</v>
      </c>
      <c r="N190" s="19">
        <f>$B190*'Teva Payments'!L$26</f>
        <v>71318.145093160958</v>
      </c>
      <c r="O190" s="19">
        <f>$B190*'Teva Payments'!M$26</f>
        <v>71318.145093160958</v>
      </c>
      <c r="P190" s="19">
        <f>$B190*'Teva Payments'!N$26</f>
        <v>71318.145093160958</v>
      </c>
      <c r="Q190" s="19">
        <f>$B190*'Teva Payments'!O$26</f>
        <v>71318.785630550803</v>
      </c>
      <c r="R190" s="39" t="s">
        <v>346</v>
      </c>
      <c r="S190" s="7">
        <f t="shared" si="10"/>
        <v>913774.20421533426</v>
      </c>
    </row>
    <row r="191" spans="1:19" x14ac:dyDescent="0.35">
      <c r="A191" s="3" t="s">
        <v>105</v>
      </c>
      <c r="B191" s="16">
        <v>2.9904211561436055E-4</v>
      </c>
      <c r="C191" s="8" t="s">
        <v>214</v>
      </c>
      <c r="D191" s="33" t="str">
        <f t="shared" si="12"/>
        <v>No</v>
      </c>
      <c r="E191" s="19">
        <f>$B191*'Teva Payments'!C$26</f>
        <v>1000.1649348966397</v>
      </c>
      <c r="F191" s="19">
        <v>1023.79</v>
      </c>
      <c r="G191" s="19">
        <f>$B191*'Teva Payments'!E$26</f>
        <v>1116.5817462634041</v>
      </c>
      <c r="H191" s="19">
        <f>$B191*'Teva Payments'!F$26</f>
        <v>1116.5817462634043</v>
      </c>
      <c r="I191" s="19">
        <f>$B191*'Teva Payments'!G$26</f>
        <v>1116.5817462634043</v>
      </c>
      <c r="J191" s="19">
        <f>$B191*'Teva Payments'!H$26</f>
        <v>1116.5817462634043</v>
      </c>
      <c r="K191" s="19">
        <f>$B191*'Teva Payments'!I$26</f>
        <v>1116.5817462141242</v>
      </c>
      <c r="L191" s="19">
        <f>$B191*'Teva Payments'!J$26</f>
        <v>1116.5817462141242</v>
      </c>
      <c r="M191" s="19">
        <f>$B191*'Teva Payments'!K$26</f>
        <v>1116.5817462141242</v>
      </c>
      <c r="N191" s="19">
        <f>$B191*'Teva Payments'!L$26</f>
        <v>1116.5817462141242</v>
      </c>
      <c r="O191" s="19">
        <f>$B191*'Teva Payments'!M$26</f>
        <v>1116.5817462141242</v>
      </c>
      <c r="P191" s="19">
        <f>$B191*'Teva Payments'!N$26</f>
        <v>1116.5817462141242</v>
      </c>
      <c r="Q191" s="19">
        <f>$B191*'Teva Payments'!O$26</f>
        <v>1116.5917746908372</v>
      </c>
      <c r="R191" s="39" t="s">
        <v>346</v>
      </c>
      <c r="S191" s="7">
        <f t="shared" si="10"/>
        <v>14306.364171925838</v>
      </c>
    </row>
    <row r="192" spans="1:19" x14ac:dyDescent="0.35">
      <c r="A192" s="3" t="s">
        <v>75</v>
      </c>
      <c r="B192" s="16">
        <v>2.8708523658912223E-4</v>
      </c>
      <c r="C192" s="8" t="s">
        <v>215</v>
      </c>
      <c r="D192" s="33" t="str">
        <f t="shared" si="12"/>
        <v>No</v>
      </c>
      <c r="E192" s="19">
        <f>$B192*'Teva Payments'!C$26</f>
        <v>960.17441012632139</v>
      </c>
      <c r="F192" s="19">
        <v>982.86</v>
      </c>
      <c r="G192" s="19">
        <f>$B192*'Teva Payments'!E$26</f>
        <v>1071.9364198536689</v>
      </c>
      <c r="H192" s="19">
        <f>$B192*'Teva Payments'!F$26</f>
        <v>1071.9364198536691</v>
      </c>
      <c r="I192" s="19">
        <f>$B192*'Teva Payments'!G$26</f>
        <v>1071.9364198536691</v>
      </c>
      <c r="J192" s="19">
        <f>$B192*'Teva Payments'!H$26</f>
        <v>1071.9364198536691</v>
      </c>
      <c r="K192" s="19">
        <f>$B192*'Teva Payments'!I$26</f>
        <v>1071.9364198063595</v>
      </c>
      <c r="L192" s="19">
        <f>$B192*'Teva Payments'!J$26</f>
        <v>1071.9364198063595</v>
      </c>
      <c r="M192" s="19">
        <f>$B192*'Teva Payments'!K$26</f>
        <v>1071.9364198063595</v>
      </c>
      <c r="N192" s="19">
        <f>$B192*'Teva Payments'!L$26</f>
        <v>1071.9364198063595</v>
      </c>
      <c r="O192" s="19">
        <f>$B192*'Teva Payments'!M$26</f>
        <v>1071.9364198063595</v>
      </c>
      <c r="P192" s="19">
        <f>$B192*'Teva Payments'!N$26</f>
        <v>1071.9364198063595</v>
      </c>
      <c r="Q192" s="19">
        <f>$B192*'Teva Payments'!O$26</f>
        <v>1071.9460473051613</v>
      </c>
      <c r="R192" s="39" t="s">
        <v>346</v>
      </c>
      <c r="S192" s="7">
        <f t="shared" si="10"/>
        <v>13734.344655684316</v>
      </c>
    </row>
    <row r="193" spans="1:19" x14ac:dyDescent="0.35">
      <c r="A193" s="3" t="s">
        <v>216</v>
      </c>
      <c r="B193" s="16">
        <v>5.2318127209600006E-3</v>
      </c>
      <c r="C193" s="8" t="s">
        <v>216</v>
      </c>
      <c r="D193" s="33" t="str">
        <f t="shared" si="12"/>
        <v>No</v>
      </c>
      <c r="E193" s="19">
        <f>$B193*'Teva Payments'!C$26</f>
        <v>17498.122693187259</v>
      </c>
      <c r="F193" s="19">
        <v>17911.509999999998</v>
      </c>
      <c r="G193" s="19">
        <f>$B193*'Teva Payments'!E$26</f>
        <v>19534.86241257744</v>
      </c>
      <c r="H193" s="19">
        <f>$B193*'Teva Payments'!F$26</f>
        <v>19534.862412577444</v>
      </c>
      <c r="I193" s="19">
        <f>$B193*'Teva Payments'!G$26</f>
        <v>19534.862412577444</v>
      </c>
      <c r="J193" s="19">
        <f>$B193*'Teva Payments'!H$26</f>
        <v>19534.862412577444</v>
      </c>
      <c r="K193" s="19">
        <f>$B193*'Teva Payments'!I$26</f>
        <v>19534.862411715279</v>
      </c>
      <c r="L193" s="19">
        <f>$B193*'Teva Payments'!J$26</f>
        <v>19534.862411715279</v>
      </c>
      <c r="M193" s="19">
        <f>$B193*'Teva Payments'!K$26</f>
        <v>19534.862411715279</v>
      </c>
      <c r="N193" s="19">
        <f>$B193*'Teva Payments'!L$26</f>
        <v>19534.862411715279</v>
      </c>
      <c r="O193" s="19">
        <f>$B193*'Teva Payments'!M$26</f>
        <v>19534.862411715279</v>
      </c>
      <c r="P193" s="19">
        <f>$B193*'Teva Payments'!N$26</f>
        <v>19534.862411715279</v>
      </c>
      <c r="Q193" s="19">
        <f>$B193*'Teva Payments'!O$26</f>
        <v>19535.037862293302</v>
      </c>
      <c r="R193" s="39" t="s">
        <v>346</v>
      </c>
      <c r="S193" s="7">
        <f t="shared" si="10"/>
        <v>250293.29467608192</v>
      </c>
    </row>
    <row r="194" spans="1:19" x14ac:dyDescent="0.35">
      <c r="A194" s="3" t="s">
        <v>217</v>
      </c>
      <c r="B194" s="16">
        <v>3.4855560519191808E-4</v>
      </c>
      <c r="C194" s="8" t="s">
        <v>218</v>
      </c>
      <c r="D194" s="33" t="str">
        <f t="shared" si="12"/>
        <v>No</v>
      </c>
      <c r="E194" s="19">
        <f>$B194*'Teva Payments'!C$26</f>
        <v>1165.7658770184696</v>
      </c>
      <c r="F194" s="19">
        <v>1193.31</v>
      </c>
      <c r="G194" s="19">
        <f>$B194*'Teva Payments'!E$26</f>
        <v>1301.4582428148119</v>
      </c>
      <c r="H194" s="19">
        <f>$B194*'Teva Payments'!F$26</f>
        <v>1301.4582428148121</v>
      </c>
      <c r="I194" s="19">
        <f>$B194*'Teva Payments'!G$26</f>
        <v>1301.4582428148121</v>
      </c>
      <c r="J194" s="19">
        <f>$B194*'Teva Payments'!H$26</f>
        <v>1301.4582428148121</v>
      </c>
      <c r="K194" s="19">
        <f>$B194*'Teva Payments'!I$26</f>
        <v>1301.4582427573728</v>
      </c>
      <c r="L194" s="19">
        <f>$B194*'Teva Payments'!J$26</f>
        <v>1301.4582427573728</v>
      </c>
      <c r="M194" s="19">
        <f>$B194*'Teva Payments'!K$26</f>
        <v>1301.4582427573728</v>
      </c>
      <c r="N194" s="19">
        <f>$B194*'Teva Payments'!L$26</f>
        <v>1301.4582427573728</v>
      </c>
      <c r="O194" s="19">
        <f>$B194*'Teva Payments'!M$26</f>
        <v>1301.4582427573728</v>
      </c>
      <c r="P194" s="19">
        <f>$B194*'Teva Payments'!N$26</f>
        <v>1301.4582427573728</v>
      </c>
      <c r="Q194" s="19">
        <f>$B194*'Teva Payments'!O$26</f>
        <v>1301.469931685411</v>
      </c>
      <c r="R194" s="39" t="s">
        <v>346</v>
      </c>
      <c r="S194" s="7">
        <f t="shared" si="10"/>
        <v>16675.128236507368</v>
      </c>
    </row>
    <row r="195" spans="1:19" x14ac:dyDescent="0.35">
      <c r="A195" s="3" t="s">
        <v>47</v>
      </c>
      <c r="B195" s="16">
        <v>1.2868028544570567E-4</v>
      </c>
      <c r="C195" s="8" t="s">
        <v>219</v>
      </c>
      <c r="D195" s="33" t="str">
        <f t="shared" si="12"/>
        <v>No</v>
      </c>
      <c r="E195" s="19">
        <f>$B195*'Teva Payments'!C$26</f>
        <v>430.37920946645664</v>
      </c>
      <c r="F195" s="19">
        <v>0</v>
      </c>
      <c r="G195" s="19">
        <f>$B195*'Teva Payments'!E$26</f>
        <v>480.47432227883644</v>
      </c>
      <c r="H195" s="19">
        <f>$B195*'Teva Payments'!F$26</f>
        <v>480.4743222788365</v>
      </c>
      <c r="I195" s="19">
        <f>$B195*'Teva Payments'!G$26</f>
        <v>480.4743222788365</v>
      </c>
      <c r="J195" s="19">
        <f>$B195*'Teva Payments'!H$26</f>
        <v>480.4743222788365</v>
      </c>
      <c r="K195" s="19">
        <f>$B195*'Teva Payments'!I$26</f>
        <v>480.47432225763089</v>
      </c>
      <c r="L195" s="19">
        <f>$B195*'Teva Payments'!J$26</f>
        <v>480.47432225763089</v>
      </c>
      <c r="M195" s="19">
        <f>$B195*'Teva Payments'!K$26</f>
        <v>480.47432225763089</v>
      </c>
      <c r="N195" s="19">
        <f>$B195*'Teva Payments'!L$26</f>
        <v>480.47432225763089</v>
      </c>
      <c r="O195" s="19">
        <f>$B195*'Teva Payments'!M$26</f>
        <v>480.47432225763089</v>
      </c>
      <c r="P195" s="19">
        <f>$B195*'Teva Payments'!N$26</f>
        <v>480.47432225763089</v>
      </c>
      <c r="Q195" s="19">
        <f>$B195*'Teva Payments'!O$26</f>
        <v>480.47863759376122</v>
      </c>
      <c r="R195" s="39" t="s">
        <v>346</v>
      </c>
      <c r="S195" s="7">
        <f t="shared" si="10"/>
        <v>5715.6010697213487</v>
      </c>
    </row>
    <row r="196" spans="1:19" x14ac:dyDescent="0.35">
      <c r="A196" s="3" t="s">
        <v>22</v>
      </c>
      <c r="B196" s="16">
        <v>9.3741051152000014E-4</v>
      </c>
      <c r="C196" s="8" t="s">
        <v>220</v>
      </c>
      <c r="D196" s="33" t="str">
        <f t="shared" si="12"/>
        <v>No</v>
      </c>
      <c r="E196" s="19">
        <f>$B196*'Teva Payments'!C$26</f>
        <v>3135.2276962716992</v>
      </c>
      <c r="F196" s="19">
        <v>3209.3</v>
      </c>
      <c r="G196" s="19">
        <f>$B196*'Teva Payments'!E$26</f>
        <v>3500.160717390298</v>
      </c>
      <c r="H196" s="19">
        <f>$B196*'Teva Payments'!F$26</f>
        <v>3500.1607173902985</v>
      </c>
      <c r="I196" s="19">
        <f>$B196*'Teva Payments'!G$26</f>
        <v>3500.1607173902985</v>
      </c>
      <c r="J196" s="19">
        <f>$B196*'Teva Payments'!H$26</f>
        <v>3500.1607173902985</v>
      </c>
      <c r="K196" s="19">
        <f>$B196*'Teva Payments'!I$26</f>
        <v>3500.1607172358199</v>
      </c>
      <c r="L196" s="19">
        <f>$B196*'Teva Payments'!J$26</f>
        <v>3500.1607172358199</v>
      </c>
      <c r="M196" s="19">
        <f>$B196*'Teva Payments'!K$26</f>
        <v>3500.1607172358199</v>
      </c>
      <c r="N196" s="19">
        <f>$B196*'Teva Payments'!L$26</f>
        <v>3500.1607172358199</v>
      </c>
      <c r="O196" s="19">
        <f>$B196*'Teva Payments'!M$26</f>
        <v>3500.1607172358199</v>
      </c>
      <c r="P196" s="19">
        <f>$B196*'Teva Payments'!N$26</f>
        <v>3500.1607172358199</v>
      </c>
      <c r="Q196" s="19">
        <f>$B196*'Teva Payments'!O$26</f>
        <v>3500.1921536088066</v>
      </c>
      <c r="R196" s="39" t="s">
        <v>346</v>
      </c>
      <c r="S196" s="7">
        <f t="shared" ref="S196:S259" si="13">SUM(E196:R196)</f>
        <v>44846.327022856618</v>
      </c>
    </row>
    <row r="197" spans="1:19" x14ac:dyDescent="0.35">
      <c r="A197" s="3" t="s">
        <v>105</v>
      </c>
      <c r="B197" s="16">
        <v>4.1937412125987635E-4</v>
      </c>
      <c r="C197" s="8" t="s">
        <v>221</v>
      </c>
      <c r="D197" s="33" t="str">
        <f t="shared" si="12"/>
        <v>No</v>
      </c>
      <c r="E197" s="19">
        <f>$B197*'Teva Payments'!C$26</f>
        <v>1402.622803900058</v>
      </c>
      <c r="F197" s="19">
        <v>1435.76</v>
      </c>
      <c r="G197" s="19">
        <f>$B197*'Teva Payments'!E$26</f>
        <v>1565.8847506880945</v>
      </c>
      <c r="H197" s="19">
        <f>$B197*'Teva Payments'!F$26</f>
        <v>1565.8847506880948</v>
      </c>
      <c r="I197" s="19">
        <f>$B197*'Teva Payments'!G$26</f>
        <v>1565.8847506880948</v>
      </c>
      <c r="J197" s="19">
        <f>$B197*'Teva Payments'!H$26</f>
        <v>1565.8847506880948</v>
      </c>
      <c r="K197" s="19">
        <f>$B197*'Teva Payments'!I$26</f>
        <v>1565.884750618985</v>
      </c>
      <c r="L197" s="19">
        <f>$B197*'Teva Payments'!J$26</f>
        <v>1565.884750618985</v>
      </c>
      <c r="M197" s="19">
        <f>$B197*'Teva Payments'!K$26</f>
        <v>1565.884750618985</v>
      </c>
      <c r="N197" s="19">
        <f>$B197*'Teva Payments'!L$26</f>
        <v>1565.884750618985</v>
      </c>
      <c r="O197" s="19">
        <f>$B197*'Teva Payments'!M$26</f>
        <v>1565.884750618985</v>
      </c>
      <c r="P197" s="19">
        <f>$B197*'Teva Payments'!N$26</f>
        <v>1565.884750618985</v>
      </c>
      <c r="Q197" s="19">
        <f>$B197*'Teva Payments'!O$26</f>
        <v>1565.8988144694911</v>
      </c>
      <c r="R197" s="39" t="s">
        <v>346</v>
      </c>
      <c r="S197" s="7">
        <f t="shared" si="13"/>
        <v>20063.129124835839</v>
      </c>
    </row>
    <row r="198" spans="1:19" x14ac:dyDescent="0.35">
      <c r="A198" s="3" t="s">
        <v>34</v>
      </c>
      <c r="B198" s="16">
        <v>8.7589028181219765E-4</v>
      </c>
      <c r="C198" s="8" t="s">
        <v>222</v>
      </c>
      <c r="D198" s="33" t="str">
        <f t="shared" si="12"/>
        <v>No</v>
      </c>
      <c r="E198" s="19">
        <f>$B198*'Teva Payments'!C$26</f>
        <v>2929.4694658160292</v>
      </c>
      <c r="F198" s="19">
        <v>2998.68</v>
      </c>
      <c r="G198" s="19">
        <f>$B198*'Teva Payments'!E$26</f>
        <v>3270.4527199848476</v>
      </c>
      <c r="H198" s="19">
        <f>$B198*'Teva Payments'!F$26</f>
        <v>3270.452719984848</v>
      </c>
      <c r="I198" s="19">
        <f>$B198*'Teva Payments'!G$26</f>
        <v>3270.452719984848</v>
      </c>
      <c r="J198" s="19">
        <f>$B198*'Teva Payments'!H$26</f>
        <v>3270.452719984848</v>
      </c>
      <c r="K198" s="19">
        <f>$B198*'Teva Payments'!I$26</f>
        <v>3270.4527198405076</v>
      </c>
      <c r="L198" s="19">
        <f>$B198*'Teva Payments'!J$26</f>
        <v>3270.4527198405076</v>
      </c>
      <c r="M198" s="19">
        <f>$B198*'Teva Payments'!K$26</f>
        <v>3270.4527198405076</v>
      </c>
      <c r="N198" s="19">
        <f>$B198*'Teva Payments'!L$26</f>
        <v>3270.4527198405076</v>
      </c>
      <c r="O198" s="19">
        <f>$B198*'Teva Payments'!M$26</f>
        <v>3270.4527198405076</v>
      </c>
      <c r="P198" s="19">
        <f>$B198*'Teva Payments'!N$26</f>
        <v>3270.4527198405076</v>
      </c>
      <c r="Q198" s="19">
        <f>$B198*'Teva Payments'!O$26</f>
        <v>3270.4820931121494</v>
      </c>
      <c r="R198" s="39" t="s">
        <v>346</v>
      </c>
      <c r="S198" s="7">
        <f t="shared" si="13"/>
        <v>41903.15875791062</v>
      </c>
    </row>
    <row r="199" spans="1:19" x14ac:dyDescent="0.35">
      <c r="A199" s="3" t="s">
        <v>34</v>
      </c>
      <c r="B199" s="16">
        <v>6.2011746176264277E-4</v>
      </c>
      <c r="C199" s="8" t="s">
        <v>223</v>
      </c>
      <c r="D199" s="33" t="str">
        <f t="shared" si="12"/>
        <v>No</v>
      </c>
      <c r="E199" s="19">
        <f>$B199*'Teva Payments'!C$26</f>
        <v>2074.0213782192723</v>
      </c>
      <c r="F199" s="19">
        <v>2123.02</v>
      </c>
      <c r="G199" s="19">
        <f>$B199*'Teva Payments'!E$26</f>
        <v>2315.4325166568965</v>
      </c>
      <c r="H199" s="19">
        <f>$B199*'Teva Payments'!F$26</f>
        <v>2315.4325166568965</v>
      </c>
      <c r="I199" s="19">
        <f>$B199*'Teva Payments'!G$26</f>
        <v>2315.4325166568965</v>
      </c>
      <c r="J199" s="19">
        <f>$B199*'Teva Payments'!H$26</f>
        <v>2315.4325166568965</v>
      </c>
      <c r="K199" s="19">
        <f>$B199*'Teva Payments'!I$26</f>
        <v>2315.4325165547057</v>
      </c>
      <c r="L199" s="19">
        <f>$B199*'Teva Payments'!J$26</f>
        <v>2315.4325165547057</v>
      </c>
      <c r="M199" s="19">
        <f>$B199*'Teva Payments'!K$26</f>
        <v>2315.4325165547057</v>
      </c>
      <c r="N199" s="19">
        <f>$B199*'Teva Payments'!L$26</f>
        <v>2315.4325165547057</v>
      </c>
      <c r="O199" s="19">
        <f>$B199*'Teva Payments'!M$26</f>
        <v>2315.4325165547057</v>
      </c>
      <c r="P199" s="19">
        <f>$B199*'Teva Payments'!N$26</f>
        <v>2315.4325165547057</v>
      </c>
      <c r="Q199" s="19">
        <f>$B199*'Teva Payments'!O$26</f>
        <v>2315.4533123998385</v>
      </c>
      <c r="R199" s="39" t="s">
        <v>346</v>
      </c>
      <c r="S199" s="7">
        <f t="shared" si="13"/>
        <v>29666.819856574926</v>
      </c>
    </row>
    <row r="200" spans="1:19" x14ac:dyDescent="0.35">
      <c r="A200" s="3" t="s">
        <v>34</v>
      </c>
      <c r="B200" s="16">
        <v>1.6393846172607529E-4</v>
      </c>
      <c r="C200" s="8" t="s">
        <v>224</v>
      </c>
      <c r="D200" s="33" t="str">
        <f t="shared" si="12"/>
        <v>No</v>
      </c>
      <c r="E200" s="19">
        <f>$B200*'Teva Payments'!C$26</f>
        <v>548.30237059572698</v>
      </c>
      <c r="F200" s="19">
        <v>561.26</v>
      </c>
      <c r="G200" s="19">
        <f>$B200*'Teva Payments'!E$26</f>
        <v>612.12345792087808</v>
      </c>
      <c r="H200" s="19">
        <f>$B200*'Teva Payments'!F$26</f>
        <v>612.1234579208782</v>
      </c>
      <c r="I200" s="19">
        <f>$B200*'Teva Payments'!G$26</f>
        <v>612.1234579208782</v>
      </c>
      <c r="J200" s="19">
        <f>$B200*'Teva Payments'!H$26</f>
        <v>612.1234579208782</v>
      </c>
      <c r="K200" s="19">
        <f>$B200*'Teva Payments'!I$26</f>
        <v>612.12345789386222</v>
      </c>
      <c r="L200" s="19">
        <f>$B200*'Teva Payments'!J$26</f>
        <v>612.12345789386222</v>
      </c>
      <c r="M200" s="19">
        <f>$B200*'Teva Payments'!K$26</f>
        <v>612.12345789386222</v>
      </c>
      <c r="N200" s="19">
        <f>$B200*'Teva Payments'!L$26</f>
        <v>612.12345789386222</v>
      </c>
      <c r="O200" s="19">
        <f>$B200*'Teva Payments'!M$26</f>
        <v>612.12345789386222</v>
      </c>
      <c r="P200" s="19">
        <f>$B200*'Teva Payments'!N$26</f>
        <v>612.12345789386222</v>
      </c>
      <c r="Q200" s="19">
        <f>$B200*'Teva Payments'!O$26</f>
        <v>612.12895562464973</v>
      </c>
      <c r="R200" s="39" t="s">
        <v>346</v>
      </c>
      <c r="S200" s="7">
        <f t="shared" si="13"/>
        <v>7842.9259052670604</v>
      </c>
    </row>
    <row r="201" spans="1:19" x14ac:dyDescent="0.35">
      <c r="A201" s="3" t="s">
        <v>34</v>
      </c>
      <c r="B201" s="16">
        <v>5.8535727113920008E-2</v>
      </c>
      <c r="C201" s="8" t="s">
        <v>34</v>
      </c>
      <c r="D201" s="33" t="str">
        <f t="shared" si="12"/>
        <v>No</v>
      </c>
      <c r="E201" s="19">
        <f>$B201*'Teva Payments'!C$26</f>
        <v>195776.37610590065</v>
      </c>
      <c r="F201" s="19">
        <v>201082.30000000002</v>
      </c>
      <c r="G201" s="19">
        <f>$B201*'Teva Payments'!E$26</f>
        <v>218564.27903267613</v>
      </c>
      <c r="H201" s="19">
        <f>$B201*'Teva Payments'!F$26</f>
        <v>218564.27903267616</v>
      </c>
      <c r="I201" s="19">
        <f>$B201*'Teva Payments'!G$26</f>
        <v>218564.27903267616</v>
      </c>
      <c r="J201" s="19">
        <f>$B201*'Teva Payments'!H$26</f>
        <v>218564.27903267616</v>
      </c>
      <c r="K201" s="19">
        <f>$B201*'Teva Payments'!I$26</f>
        <v>218564.2790230299</v>
      </c>
      <c r="L201" s="19">
        <f>$B201*'Teva Payments'!J$26</f>
        <v>218564.2790230299</v>
      </c>
      <c r="M201" s="19">
        <f>$B201*'Teva Payments'!K$26</f>
        <v>218564.2790230299</v>
      </c>
      <c r="N201" s="19">
        <f>$B201*'Teva Payments'!L$26</f>
        <v>218564.2790230299</v>
      </c>
      <c r="O201" s="19">
        <f>$B201*'Teva Payments'!M$26</f>
        <v>218564.2790230299</v>
      </c>
      <c r="P201" s="19">
        <f>$B201*'Teva Payments'!N$26</f>
        <v>218564.2790230299</v>
      </c>
      <c r="Q201" s="19">
        <f>$B201*'Teva Payments'!O$26</f>
        <v>218566.24203808891</v>
      </c>
      <c r="R201" s="39" t="s">
        <v>346</v>
      </c>
      <c r="S201" s="7">
        <f t="shared" si="13"/>
        <v>2801067.7084128736</v>
      </c>
    </row>
    <row r="202" spans="1:19" x14ac:dyDescent="0.35">
      <c r="A202" s="3" t="s">
        <v>225</v>
      </c>
      <c r="B202" s="16">
        <v>2.4376421473599999E-3</v>
      </c>
      <c r="C202" s="8" t="s">
        <v>225</v>
      </c>
      <c r="D202" s="33" t="str">
        <f t="shared" si="12"/>
        <v>No</v>
      </c>
      <c r="E202" s="19">
        <f>$B202*'Teva Payments'!C$26</f>
        <v>8152.8456104145489</v>
      </c>
      <c r="F202" s="19">
        <v>8345.4500000000007</v>
      </c>
      <c r="G202" s="19">
        <f>$B202*'Teva Payments'!E$26</f>
        <v>9101.8173813835729</v>
      </c>
      <c r="H202" s="19">
        <f>$B202*'Teva Payments'!F$26</f>
        <v>9101.8173813835747</v>
      </c>
      <c r="I202" s="19">
        <f>$B202*'Teva Payments'!G$26</f>
        <v>9101.8173813835747</v>
      </c>
      <c r="J202" s="19">
        <f>$B202*'Teva Payments'!H$26</f>
        <v>9101.8173813835747</v>
      </c>
      <c r="K202" s="19">
        <f>$B202*'Teva Payments'!I$26</f>
        <v>9101.8173809818691</v>
      </c>
      <c r="L202" s="19">
        <f>$B202*'Teva Payments'!J$26</f>
        <v>9101.8173809818691</v>
      </c>
      <c r="M202" s="19">
        <f>$B202*'Teva Payments'!K$26</f>
        <v>9101.8173809818691</v>
      </c>
      <c r="N202" s="19">
        <f>$B202*'Teva Payments'!L$26</f>
        <v>9101.8173809818691</v>
      </c>
      <c r="O202" s="19">
        <f>$B202*'Teva Payments'!M$26</f>
        <v>9101.8173809818691</v>
      </c>
      <c r="P202" s="19">
        <f>$B202*'Teva Payments'!N$26</f>
        <v>9101.8173809818691</v>
      </c>
      <c r="Q202" s="19">
        <f>$B202*'Teva Payments'!O$26</f>
        <v>9101.8991281212602</v>
      </c>
      <c r="R202" s="39" t="s">
        <v>346</v>
      </c>
      <c r="S202" s="7">
        <f t="shared" si="13"/>
        <v>116618.36854996133</v>
      </c>
    </row>
    <row r="203" spans="1:19" x14ac:dyDescent="0.35">
      <c r="A203" s="3" t="s">
        <v>60</v>
      </c>
      <c r="B203" s="16">
        <v>2.1604790854926307E-6</v>
      </c>
      <c r="C203" s="8" t="s">
        <v>226</v>
      </c>
      <c r="D203" s="33" t="str">
        <f t="shared" si="12"/>
        <v>Yes</v>
      </c>
      <c r="E203" s="19">
        <f>B203*'Teva Payments'!$Q$26</f>
        <v>104.0290767943637</v>
      </c>
      <c r="F203" s="19">
        <v>0</v>
      </c>
      <c r="G203" s="52">
        <f>$B203*'Teva Payments'!E$26</f>
        <v>8.0669289845308949</v>
      </c>
      <c r="H203" s="52">
        <f>$B203*'Teva Payments'!F$26</f>
        <v>8.0669289845308949</v>
      </c>
      <c r="I203" s="52">
        <f>$B203*'Teva Payments'!G$26</f>
        <v>8.0669289845308949</v>
      </c>
      <c r="J203" s="52">
        <f>$B203*'Teva Payments'!H$26</f>
        <v>8.0669289845308949</v>
      </c>
      <c r="K203" s="52">
        <f>$B203*'Teva Payments'!I$26</f>
        <v>8.0669289841748633</v>
      </c>
      <c r="L203" s="52">
        <f>$B203*'Teva Payments'!J$26</f>
        <v>8.0669289841748633</v>
      </c>
      <c r="M203" s="52">
        <f>$B203*'Teva Payments'!K$26</f>
        <v>8.0669289841748633</v>
      </c>
      <c r="N203" s="52">
        <f>$B203*'Teva Payments'!L$26</f>
        <v>8.0669289841748633</v>
      </c>
      <c r="O203" s="52">
        <f>$B203*'Teva Payments'!M$26</f>
        <v>8.0669289841748633</v>
      </c>
      <c r="P203" s="52">
        <f>$B203*'Teva Payments'!N$26</f>
        <v>8.0669289841748633</v>
      </c>
      <c r="Q203" s="52">
        <f>$B203*'Teva Payments'!O$26</f>
        <v>8.0670014365588809</v>
      </c>
      <c r="R203" s="39" t="s">
        <v>346</v>
      </c>
      <c r="S203" s="7">
        <f>E203</f>
        <v>104.0290767943637</v>
      </c>
    </row>
    <row r="204" spans="1:19" x14ac:dyDescent="0.35">
      <c r="A204" s="3" t="s">
        <v>227</v>
      </c>
      <c r="B204" s="16">
        <v>6.2312530156800007E-3</v>
      </c>
      <c r="C204" s="8" t="s">
        <v>227</v>
      </c>
      <c r="D204" s="33" t="str">
        <f t="shared" si="12"/>
        <v>No</v>
      </c>
      <c r="E204" s="19">
        <f>$B204*'Teva Payments'!C$26</f>
        <v>20840.812853227395</v>
      </c>
      <c r="F204" s="19">
        <v>21333.17</v>
      </c>
      <c r="G204" s="19">
        <f>$B204*'Teva Payments'!E$26</f>
        <v>23266.633729376132</v>
      </c>
      <c r="H204" s="19">
        <f>$B204*'Teva Payments'!F$26</f>
        <v>23266.633729376135</v>
      </c>
      <c r="I204" s="19">
        <f>$B204*'Teva Payments'!G$26</f>
        <v>23266.633729376135</v>
      </c>
      <c r="J204" s="19">
        <f>$B204*'Teva Payments'!H$26</f>
        <v>23266.633729376135</v>
      </c>
      <c r="K204" s="19">
        <f>$B204*'Teva Payments'!I$26</f>
        <v>23266.633728349268</v>
      </c>
      <c r="L204" s="19">
        <f>$B204*'Teva Payments'!J$26</f>
        <v>23266.633728349268</v>
      </c>
      <c r="M204" s="19">
        <f>$B204*'Teva Payments'!K$26</f>
        <v>23266.633728349268</v>
      </c>
      <c r="N204" s="19">
        <f>$B204*'Teva Payments'!L$26</f>
        <v>23266.633728349268</v>
      </c>
      <c r="O204" s="19">
        <f>$B204*'Teva Payments'!M$26</f>
        <v>23266.633728349268</v>
      </c>
      <c r="P204" s="19">
        <f>$B204*'Teva Payments'!N$26</f>
        <v>23266.633728349268</v>
      </c>
      <c r="Q204" s="19">
        <f>$B204*'Teva Payments'!O$26</f>
        <v>23266.842695489671</v>
      </c>
      <c r="R204" s="39" t="s">
        <v>346</v>
      </c>
      <c r="S204" s="7">
        <f t="shared" si="13"/>
        <v>298107.16283631721</v>
      </c>
    </row>
    <row r="205" spans="1:19" x14ac:dyDescent="0.35">
      <c r="A205" s="3" t="s">
        <v>228</v>
      </c>
      <c r="B205" s="16">
        <v>5.6487088447999996E-4</v>
      </c>
      <c r="C205" s="8" t="s">
        <v>228</v>
      </c>
      <c r="D205" s="33" t="str">
        <f t="shared" si="12"/>
        <v>No</v>
      </c>
      <c r="E205" s="19">
        <f>$B205*'Teva Payments'!C$26</f>
        <v>1889.2457680760731</v>
      </c>
      <c r="F205" s="19">
        <v>1933.88</v>
      </c>
      <c r="G205" s="19">
        <f>$B205*'Teva Payments'!E$26</f>
        <v>2109.1494664898746</v>
      </c>
      <c r="H205" s="19">
        <f>$B205*'Teva Payments'!F$26</f>
        <v>2109.1494664898751</v>
      </c>
      <c r="I205" s="19">
        <f>$B205*'Teva Payments'!G$26</f>
        <v>2109.1494664898751</v>
      </c>
      <c r="J205" s="19">
        <f>$B205*'Teva Payments'!H$26</f>
        <v>2109.1494664898751</v>
      </c>
      <c r="K205" s="19">
        <f>$B205*'Teva Payments'!I$26</f>
        <v>2109.1494663967883</v>
      </c>
      <c r="L205" s="19">
        <f>$B205*'Teva Payments'!J$26</f>
        <v>2109.1494663967883</v>
      </c>
      <c r="M205" s="19">
        <f>$B205*'Teva Payments'!K$26</f>
        <v>2109.1494663967883</v>
      </c>
      <c r="N205" s="19">
        <f>$B205*'Teva Payments'!L$26</f>
        <v>2109.1494663967883</v>
      </c>
      <c r="O205" s="19">
        <f>$B205*'Teva Payments'!M$26</f>
        <v>2109.1494663967883</v>
      </c>
      <c r="P205" s="19">
        <f>$B205*'Teva Payments'!N$26</f>
        <v>2109.1494663967883</v>
      </c>
      <c r="Q205" s="19">
        <f>$B205*'Teva Payments'!O$26</f>
        <v>2109.1684095295946</v>
      </c>
      <c r="R205" s="39" t="s">
        <v>346</v>
      </c>
      <c r="S205" s="7">
        <f t="shared" si="13"/>
        <v>27023.788841945901</v>
      </c>
    </row>
    <row r="206" spans="1:19" x14ac:dyDescent="0.35">
      <c r="A206" s="3" t="s">
        <v>34</v>
      </c>
      <c r="B206" s="16">
        <v>2.8958027866277504E-4</v>
      </c>
      <c r="C206" s="8" t="s">
        <v>229</v>
      </c>
      <c r="D206" s="33" t="str">
        <f t="shared" si="12"/>
        <v>No</v>
      </c>
      <c r="E206" s="19">
        <f>$B206*'Teva Payments'!C$26</f>
        <v>968.51923335642937</v>
      </c>
      <c r="F206" s="19">
        <v>991.4</v>
      </c>
      <c r="G206" s="19">
        <f>$B206*'Teva Payments'!E$26</f>
        <v>1081.2525605914927</v>
      </c>
      <c r="H206" s="19">
        <f>$B206*'Teva Payments'!F$26</f>
        <v>1081.2525605914927</v>
      </c>
      <c r="I206" s="19">
        <f>$B206*'Teva Payments'!G$26</f>
        <v>1081.2525605914927</v>
      </c>
      <c r="J206" s="19">
        <f>$B206*'Teva Payments'!H$26</f>
        <v>1081.2525605914927</v>
      </c>
      <c r="K206" s="19">
        <f>$B206*'Teva Payments'!I$26</f>
        <v>1081.252560543772</v>
      </c>
      <c r="L206" s="19">
        <f>$B206*'Teva Payments'!J$26</f>
        <v>1081.252560543772</v>
      </c>
      <c r="M206" s="19">
        <f>$B206*'Teva Payments'!K$26</f>
        <v>1081.252560543772</v>
      </c>
      <c r="N206" s="19">
        <f>$B206*'Teva Payments'!L$26</f>
        <v>1081.252560543772</v>
      </c>
      <c r="O206" s="19">
        <f>$B206*'Teva Payments'!M$26</f>
        <v>1081.252560543772</v>
      </c>
      <c r="P206" s="19">
        <f>$B206*'Teva Payments'!N$26</f>
        <v>1081.252560543772</v>
      </c>
      <c r="Q206" s="19">
        <f>$B206*'Teva Payments'!O$26</f>
        <v>1081.2622717146387</v>
      </c>
      <c r="R206" s="39" t="s">
        <v>346</v>
      </c>
      <c r="S206" s="7">
        <f t="shared" si="13"/>
        <v>13853.707110699668</v>
      </c>
    </row>
    <row r="207" spans="1:19" x14ac:dyDescent="0.35">
      <c r="A207" s="3" t="s">
        <v>230</v>
      </c>
      <c r="B207" s="16">
        <v>2.1551218640000003E-3</v>
      </c>
      <c r="C207" s="8" t="s">
        <v>230</v>
      </c>
      <c r="D207" s="33" t="str">
        <f t="shared" si="12"/>
        <v>No</v>
      </c>
      <c r="E207" s="19">
        <f>$B207*'Teva Payments'!C$26</f>
        <v>7207.9389699795693</v>
      </c>
      <c r="F207" s="19">
        <v>7378.22</v>
      </c>
      <c r="G207" s="19">
        <f>$B207*'Teva Payments'!E$26</f>
        <v>8046.9258631743196</v>
      </c>
      <c r="H207" s="19">
        <f>$B207*'Teva Payments'!F$26</f>
        <v>8046.9258631743205</v>
      </c>
      <c r="I207" s="19">
        <f>$B207*'Teva Payments'!G$26</f>
        <v>8046.9258631743205</v>
      </c>
      <c r="J207" s="19">
        <f>$B207*'Teva Payments'!H$26</f>
        <v>8046.9258631743205</v>
      </c>
      <c r="K207" s="19">
        <f>$B207*'Teva Payments'!I$26</f>
        <v>8046.9258628191719</v>
      </c>
      <c r="L207" s="19">
        <f>$B207*'Teva Payments'!J$26</f>
        <v>8046.9258628191719</v>
      </c>
      <c r="M207" s="19">
        <f>$B207*'Teva Payments'!K$26</f>
        <v>8046.9258628191719</v>
      </c>
      <c r="N207" s="19">
        <f>$B207*'Teva Payments'!L$26</f>
        <v>8046.9258628191719</v>
      </c>
      <c r="O207" s="19">
        <f>$B207*'Teva Payments'!M$26</f>
        <v>8046.9258628191719</v>
      </c>
      <c r="P207" s="19">
        <f>$B207*'Teva Payments'!N$26</f>
        <v>8046.9258628191719</v>
      </c>
      <c r="Q207" s="19">
        <f>$B207*'Teva Payments'!O$26</f>
        <v>8046.9981355469854</v>
      </c>
      <c r="R207" s="39" t="s">
        <v>346</v>
      </c>
      <c r="S207" s="7">
        <f t="shared" si="13"/>
        <v>103102.41573513887</v>
      </c>
    </row>
    <row r="208" spans="1:19" x14ac:dyDescent="0.35">
      <c r="A208" s="3" t="s">
        <v>231</v>
      </c>
      <c r="B208" s="16">
        <v>5.8661152369835065E-4</v>
      </c>
      <c r="C208" s="8" t="s">
        <v>231</v>
      </c>
      <c r="D208" s="33" t="str">
        <f t="shared" si="12"/>
        <v>No</v>
      </c>
      <c r="E208" s="19">
        <f>$B208*'Teva Payments'!C$26</f>
        <v>1961.9586866686971</v>
      </c>
      <c r="F208" s="19">
        <v>2008.31</v>
      </c>
      <c r="G208" s="19">
        <f>$B208*'Teva Payments'!E$26</f>
        <v>2190.3259952655521</v>
      </c>
      <c r="H208" s="19">
        <f>$B208*'Teva Payments'!F$26</f>
        <v>2190.3259952655526</v>
      </c>
      <c r="I208" s="19">
        <f>$B208*'Teva Payments'!G$26</f>
        <v>2190.3259952655526</v>
      </c>
      <c r="J208" s="19">
        <f>$B208*'Teva Payments'!H$26</f>
        <v>2190.3259952655526</v>
      </c>
      <c r="K208" s="19">
        <f>$B208*'Teva Payments'!I$26</f>
        <v>2190.3259951688833</v>
      </c>
      <c r="L208" s="19">
        <f>$B208*'Teva Payments'!J$26</f>
        <v>2190.3259951688833</v>
      </c>
      <c r="M208" s="19">
        <f>$B208*'Teva Payments'!K$26</f>
        <v>2190.3259951688833</v>
      </c>
      <c r="N208" s="19">
        <f>$B208*'Teva Payments'!L$26</f>
        <v>2190.3259951688833</v>
      </c>
      <c r="O208" s="19">
        <f>$B208*'Teva Payments'!M$26</f>
        <v>2190.3259951688833</v>
      </c>
      <c r="P208" s="19">
        <f>$B208*'Teva Payments'!N$26</f>
        <v>2190.3259951688833</v>
      </c>
      <c r="Q208" s="19">
        <f>$B208*'Teva Payments'!O$26</f>
        <v>2190.3456673812498</v>
      </c>
      <c r="R208" s="39" t="s">
        <v>346</v>
      </c>
      <c r="S208" s="7">
        <f t="shared" si="13"/>
        <v>28063.874306125454</v>
      </c>
    </row>
    <row r="209" spans="1:19" x14ac:dyDescent="0.35">
      <c r="A209" s="3" t="s">
        <v>83</v>
      </c>
      <c r="B209" s="16">
        <v>7.4328491705644338E-5</v>
      </c>
      <c r="C209" s="8" t="s">
        <v>232</v>
      </c>
      <c r="D209" s="33" t="str">
        <f t="shared" si="12"/>
        <v>Yes</v>
      </c>
      <c r="E209" s="19">
        <f>B209*'Teva Payments'!$Q$26</f>
        <v>3578.9859867551468</v>
      </c>
      <c r="F209" s="19">
        <v>0</v>
      </c>
      <c r="G209" s="52">
        <f>$B209*'Teva Payments'!E$26</f>
        <v>277.53226964472356</v>
      </c>
      <c r="H209" s="52">
        <f>$B209*'Teva Payments'!F$26</f>
        <v>277.53226964472356</v>
      </c>
      <c r="I209" s="52">
        <f>$B209*'Teva Payments'!G$26</f>
        <v>277.53226964472356</v>
      </c>
      <c r="J209" s="52">
        <f>$B209*'Teva Payments'!H$26</f>
        <v>277.53226964472356</v>
      </c>
      <c r="K209" s="52">
        <f>$B209*'Teva Payments'!I$26</f>
        <v>277.53226963247477</v>
      </c>
      <c r="L209" s="52">
        <f>$B209*'Teva Payments'!J$26</f>
        <v>277.53226963247477</v>
      </c>
      <c r="M209" s="52">
        <f>$B209*'Teva Payments'!K$26</f>
        <v>277.53226963247477</v>
      </c>
      <c r="N209" s="52">
        <f>$B209*'Teva Payments'!L$26</f>
        <v>277.53226963247477</v>
      </c>
      <c r="O209" s="52">
        <f>$B209*'Teva Payments'!M$26</f>
        <v>277.53226963247477</v>
      </c>
      <c r="P209" s="52">
        <f>$B209*'Teva Payments'!N$26</f>
        <v>277.53226963247477</v>
      </c>
      <c r="Q209" s="52">
        <f>$B209*'Teva Payments'!O$26</f>
        <v>277.534762263142</v>
      </c>
      <c r="R209" s="39" t="s">
        <v>346</v>
      </c>
      <c r="S209" s="7">
        <f>E209</f>
        <v>3578.9859867551468</v>
      </c>
    </row>
    <row r="210" spans="1:19" x14ac:dyDescent="0.35">
      <c r="A210" s="3" t="s">
        <v>233</v>
      </c>
      <c r="B210" s="16">
        <v>3.1792059880000004E-3</v>
      </c>
      <c r="C210" s="8" t="s">
        <v>233</v>
      </c>
      <c r="D210" s="33" t="str">
        <f t="shared" si="12"/>
        <v>No</v>
      </c>
      <c r="E210" s="19">
        <f>$B210*'Teva Payments'!C$26</f>
        <v>10633.051948146167</v>
      </c>
      <c r="F210" s="19">
        <v>10884.25</v>
      </c>
      <c r="G210" s="19">
        <f>$B210*'Teva Payments'!E$26</f>
        <v>11870.713817414022</v>
      </c>
      <c r="H210" s="19">
        <f>$B210*'Teva Payments'!F$26</f>
        <v>11870.713817414024</v>
      </c>
      <c r="I210" s="19">
        <f>$B210*'Teva Payments'!G$26</f>
        <v>11870.713817414024</v>
      </c>
      <c r="J210" s="19">
        <f>$B210*'Teva Payments'!H$26</f>
        <v>11870.713817414024</v>
      </c>
      <c r="K210" s="19">
        <f>$B210*'Teva Payments'!I$26</f>
        <v>11870.713816890113</v>
      </c>
      <c r="L210" s="19">
        <f>$B210*'Teva Payments'!J$26</f>
        <v>11870.713816890113</v>
      </c>
      <c r="M210" s="19">
        <f>$B210*'Teva Payments'!K$26</f>
        <v>11870.713816890113</v>
      </c>
      <c r="N210" s="19">
        <f>$B210*'Teva Payments'!L$26</f>
        <v>11870.713816890113</v>
      </c>
      <c r="O210" s="19">
        <f>$B210*'Teva Payments'!M$26</f>
        <v>11870.713816890113</v>
      </c>
      <c r="P210" s="19">
        <f>$B210*'Teva Payments'!N$26</f>
        <v>11870.713816890113</v>
      </c>
      <c r="Q210" s="19">
        <f>$B210*'Teva Payments'!O$26</f>
        <v>11870.820432619308</v>
      </c>
      <c r="R210" s="39" t="s">
        <v>346</v>
      </c>
      <c r="S210" s="7">
        <f t="shared" si="13"/>
        <v>152095.26055176224</v>
      </c>
    </row>
    <row r="211" spans="1:19" x14ac:dyDescent="0.35">
      <c r="A211" s="3" t="s">
        <v>24</v>
      </c>
      <c r="B211" s="16">
        <v>8.8613450937211676E-3</v>
      </c>
      <c r="C211" s="8" t="s">
        <v>24</v>
      </c>
      <c r="D211" s="33" t="str">
        <f t="shared" si="12"/>
        <v>No</v>
      </c>
      <c r="E211" s="19">
        <f>$B211*'Teva Payments'!C$26</f>
        <v>29637.319213550538</v>
      </c>
      <c r="F211" s="19">
        <v>30337.49</v>
      </c>
      <c r="G211" s="19">
        <f>$B211*'Teva Payments'!E$26</f>
        <v>33087.03243575729</v>
      </c>
      <c r="H211" s="19">
        <f>$B211*'Teva Payments'!F$26</f>
        <v>33087.032435757297</v>
      </c>
      <c r="I211" s="19">
        <f>$B211*'Teva Payments'!G$26</f>
        <v>33087.032435757297</v>
      </c>
      <c r="J211" s="19">
        <f>$B211*'Teva Payments'!H$26</f>
        <v>33087.032435757297</v>
      </c>
      <c r="K211" s="19">
        <f>$B211*'Teva Payments'!I$26</f>
        <v>33087.032434297013</v>
      </c>
      <c r="L211" s="19">
        <f>$B211*'Teva Payments'!J$26</f>
        <v>33087.032434297013</v>
      </c>
      <c r="M211" s="19">
        <f>$B211*'Teva Payments'!K$26</f>
        <v>33087.032434297013</v>
      </c>
      <c r="N211" s="19">
        <f>$B211*'Teva Payments'!L$26</f>
        <v>33087.032434297013</v>
      </c>
      <c r="O211" s="19">
        <f>$B211*'Teva Payments'!M$26</f>
        <v>33087.032434297013</v>
      </c>
      <c r="P211" s="19">
        <f>$B211*'Teva Payments'!N$26</f>
        <v>33087.032434297013</v>
      </c>
      <c r="Q211" s="19">
        <f>$B211*'Teva Payments'!O$26</f>
        <v>33087.329602449179</v>
      </c>
      <c r="R211" s="39" t="s">
        <v>346</v>
      </c>
      <c r="S211" s="7">
        <f t="shared" si="13"/>
        <v>423932.46316481108</v>
      </c>
    </row>
    <row r="212" spans="1:19" x14ac:dyDescent="0.35">
      <c r="A212" s="3" t="s">
        <v>234</v>
      </c>
      <c r="B212" s="16">
        <v>3.587611178190589E-4</v>
      </c>
      <c r="C212" s="8" t="s">
        <v>235</v>
      </c>
      <c r="D212" s="33" t="str">
        <f t="shared" si="12"/>
        <v>No</v>
      </c>
      <c r="E212" s="19">
        <f>$B212*'Teva Payments'!C$26</f>
        <v>1199.8988480594924</v>
      </c>
      <c r="F212" s="19">
        <v>1228.25</v>
      </c>
      <c r="G212" s="19">
        <f>$B212*'Teva Payments'!E$26</f>
        <v>1339.5642102211598</v>
      </c>
      <c r="H212" s="19">
        <f>$B212*'Teva Payments'!F$26</f>
        <v>1339.56421022116</v>
      </c>
      <c r="I212" s="19">
        <f>$B212*'Teva Payments'!G$26</f>
        <v>1339.56421022116</v>
      </c>
      <c r="J212" s="19">
        <f>$B212*'Teva Payments'!H$26</f>
        <v>1339.56421022116</v>
      </c>
      <c r="K212" s="19">
        <f>$B212*'Teva Payments'!I$26</f>
        <v>1339.5642101620388</v>
      </c>
      <c r="L212" s="19">
        <f>$B212*'Teva Payments'!J$26</f>
        <v>1339.5642101620388</v>
      </c>
      <c r="M212" s="19">
        <f>$B212*'Teva Payments'!K$26</f>
        <v>1339.5642101620388</v>
      </c>
      <c r="N212" s="19">
        <f>$B212*'Teva Payments'!L$26</f>
        <v>1339.5642101620388</v>
      </c>
      <c r="O212" s="19">
        <f>$B212*'Teva Payments'!M$26</f>
        <v>1339.5642101620388</v>
      </c>
      <c r="P212" s="19">
        <f>$B212*'Teva Payments'!N$26</f>
        <v>1339.5642101620388</v>
      </c>
      <c r="Q212" s="19">
        <f>$B212*'Teva Payments'!O$26</f>
        <v>1339.5762413353341</v>
      </c>
      <c r="R212" s="39" t="s">
        <v>346</v>
      </c>
      <c r="S212" s="7">
        <f t="shared" si="13"/>
        <v>17163.367191251702</v>
      </c>
    </row>
    <row r="213" spans="1:19" x14ac:dyDescent="0.35">
      <c r="A213" s="3" t="s">
        <v>34</v>
      </c>
      <c r="B213" s="16">
        <v>1.3184908745622357E-4</v>
      </c>
      <c r="C213" s="8" t="s">
        <v>236</v>
      </c>
      <c r="D213" s="33" t="str">
        <f t="shared" si="12"/>
        <v>No</v>
      </c>
      <c r="E213" s="19">
        <f>$B213*'Teva Payments'!C$26</f>
        <v>440.97746466552394</v>
      </c>
      <c r="F213" s="19">
        <v>451.4</v>
      </c>
      <c r="G213" s="19">
        <f>$B213*'Teva Payments'!E$26</f>
        <v>492.30618908862687</v>
      </c>
      <c r="H213" s="19">
        <f>$B213*'Teva Payments'!F$26</f>
        <v>492.30618908862692</v>
      </c>
      <c r="I213" s="19">
        <f>$B213*'Teva Payments'!G$26</f>
        <v>492.30618908862692</v>
      </c>
      <c r="J213" s="19">
        <f>$B213*'Teva Payments'!H$26</f>
        <v>492.30618908862692</v>
      </c>
      <c r="K213" s="19">
        <f>$B213*'Teva Payments'!I$26</f>
        <v>492.30618906689915</v>
      </c>
      <c r="L213" s="19">
        <f>$B213*'Teva Payments'!J$26</f>
        <v>492.30618906689915</v>
      </c>
      <c r="M213" s="19">
        <f>$B213*'Teva Payments'!K$26</f>
        <v>492.30618906689915</v>
      </c>
      <c r="N213" s="19">
        <f>$B213*'Teva Payments'!L$26</f>
        <v>492.30618906689915</v>
      </c>
      <c r="O213" s="19">
        <f>$B213*'Teva Payments'!M$26</f>
        <v>492.30618906689915</v>
      </c>
      <c r="P213" s="19">
        <f>$B213*'Teva Payments'!N$26</f>
        <v>492.30618906689915</v>
      </c>
      <c r="Q213" s="19">
        <f>$B213*'Teva Payments'!O$26</f>
        <v>492.31061066985785</v>
      </c>
      <c r="R213" s="39" t="s">
        <v>346</v>
      </c>
      <c r="S213" s="7">
        <f t="shared" si="13"/>
        <v>6307.7499660912854</v>
      </c>
    </row>
    <row r="214" spans="1:19" x14ac:dyDescent="0.35">
      <c r="A214" s="3" t="s">
        <v>24</v>
      </c>
      <c r="B214" s="16">
        <v>4.1475564429802469E-5</v>
      </c>
      <c r="C214" s="8" t="s">
        <v>237</v>
      </c>
      <c r="D214" s="33" t="str">
        <f t="shared" si="12"/>
        <v>Yes</v>
      </c>
      <c r="E214" s="19">
        <f>B214*'Teva Payments'!$Q$26</f>
        <v>1997.0869915520029</v>
      </c>
      <c r="F214" s="19">
        <v>0</v>
      </c>
      <c r="G214" s="52">
        <f>$B214*'Teva Payments'!E$26</f>
        <v>154.86399988559083</v>
      </c>
      <c r="H214" s="52">
        <f>$B214*'Teva Payments'!F$26</f>
        <v>154.86399988559083</v>
      </c>
      <c r="I214" s="52">
        <f>$B214*'Teva Payments'!G$26</f>
        <v>154.86399988559083</v>
      </c>
      <c r="J214" s="52">
        <f>$B214*'Teva Payments'!H$26</f>
        <v>154.86399988559083</v>
      </c>
      <c r="K214" s="52">
        <f>$B214*'Teva Payments'!I$26</f>
        <v>154.86399987875598</v>
      </c>
      <c r="L214" s="52">
        <f>$B214*'Teva Payments'!J$26</f>
        <v>154.86399987875598</v>
      </c>
      <c r="M214" s="52">
        <f>$B214*'Teva Payments'!K$26</f>
        <v>154.86399987875598</v>
      </c>
      <c r="N214" s="52">
        <f>$B214*'Teva Payments'!L$26</f>
        <v>154.86399987875598</v>
      </c>
      <c r="O214" s="52">
        <f>$B214*'Teva Payments'!M$26</f>
        <v>154.86399987875598</v>
      </c>
      <c r="P214" s="52">
        <f>$B214*'Teva Payments'!N$26</f>
        <v>154.86399987875598</v>
      </c>
      <c r="Q214" s="52">
        <f>$B214*'Teva Payments'!O$26</f>
        <v>154.86539077559064</v>
      </c>
      <c r="R214" s="39" t="s">
        <v>346</v>
      </c>
      <c r="S214" s="7">
        <f>E214</f>
        <v>1997.0869915520029</v>
      </c>
    </row>
    <row r="215" spans="1:19" x14ac:dyDescent="0.35">
      <c r="A215" s="3" t="s">
        <v>28</v>
      </c>
      <c r="B215" s="16">
        <v>2.8482037360000003E-4</v>
      </c>
      <c r="C215" s="8" t="s">
        <v>238</v>
      </c>
      <c r="D215" s="33" t="str">
        <f t="shared" si="12"/>
        <v>No</v>
      </c>
      <c r="E215" s="19">
        <f>$B215*'Teva Payments'!C$26</f>
        <v>952.59943514525082</v>
      </c>
      <c r="F215" s="19">
        <v>975.1</v>
      </c>
      <c r="G215" s="19">
        <f>$B215*'Teva Payments'!E$26</f>
        <v>1063.4797358637034</v>
      </c>
      <c r="H215" s="19">
        <f>$B215*'Teva Payments'!F$26</f>
        <v>1063.4797358637036</v>
      </c>
      <c r="I215" s="19">
        <f>$B215*'Teva Payments'!G$26</f>
        <v>1063.4797358637036</v>
      </c>
      <c r="J215" s="19">
        <f>$B215*'Teva Payments'!H$26</f>
        <v>1063.4797358637036</v>
      </c>
      <c r="K215" s="19">
        <f>$B215*'Teva Payments'!I$26</f>
        <v>1063.4797358167671</v>
      </c>
      <c r="L215" s="19">
        <f>$B215*'Teva Payments'!J$26</f>
        <v>1063.4797358167671</v>
      </c>
      <c r="M215" s="19">
        <f>$B215*'Teva Payments'!K$26</f>
        <v>1063.4797358167671</v>
      </c>
      <c r="N215" s="19">
        <f>$B215*'Teva Payments'!L$26</f>
        <v>1063.4797358167671</v>
      </c>
      <c r="O215" s="19">
        <f>$B215*'Teva Payments'!M$26</f>
        <v>1063.4797358167671</v>
      </c>
      <c r="P215" s="19">
        <f>$B215*'Teva Payments'!N$26</f>
        <v>1063.4797358167671</v>
      </c>
      <c r="Q215" s="19">
        <f>$B215*'Teva Payments'!O$26</f>
        <v>1063.4892873626359</v>
      </c>
      <c r="R215" s="39" t="s">
        <v>346</v>
      </c>
      <c r="S215" s="7">
        <f t="shared" si="13"/>
        <v>13625.986080863304</v>
      </c>
    </row>
    <row r="216" spans="1:19" x14ac:dyDescent="0.35">
      <c r="A216" s="3" t="s">
        <v>14</v>
      </c>
      <c r="B216" s="16">
        <v>8.7988886930075511E-5</v>
      </c>
      <c r="C216" s="8" t="s">
        <v>239</v>
      </c>
      <c r="D216" s="33" t="str">
        <f t="shared" si="12"/>
        <v>No</v>
      </c>
      <c r="E216" s="19">
        <f>$B216*'Teva Payments'!C$26</f>
        <v>294.28429901002443</v>
      </c>
      <c r="F216" s="19">
        <v>301.24</v>
      </c>
      <c r="G216" s="19">
        <f>$B216*'Teva Payments'!E$26</f>
        <v>328.53828905776686</v>
      </c>
      <c r="H216" s="19">
        <f>$B216*'Teva Payments'!F$26</f>
        <v>328.53828905776692</v>
      </c>
      <c r="I216" s="19">
        <f>$B216*'Teva Payments'!G$26</f>
        <v>328.53828905776692</v>
      </c>
      <c r="J216" s="19">
        <f>$B216*'Teva Payments'!H$26</f>
        <v>328.53828905776692</v>
      </c>
      <c r="K216" s="19">
        <f>$B216*'Teva Payments'!I$26</f>
        <v>328.53828904326696</v>
      </c>
      <c r="L216" s="19">
        <f>$B216*'Teva Payments'!J$26</f>
        <v>328.53828904326696</v>
      </c>
      <c r="M216" s="19">
        <f>$B216*'Teva Payments'!K$26</f>
        <v>328.53828904326696</v>
      </c>
      <c r="N216" s="19">
        <f>$B216*'Teva Payments'!L$26</f>
        <v>328.53828904326696</v>
      </c>
      <c r="O216" s="19">
        <f>$B216*'Teva Payments'!M$26</f>
        <v>328.53828904326696</v>
      </c>
      <c r="P216" s="19">
        <f>$B216*'Teva Payments'!N$26</f>
        <v>328.53828904326696</v>
      </c>
      <c r="Q216" s="19">
        <f>$B216*'Teva Payments'!O$26</f>
        <v>328.54123977982715</v>
      </c>
      <c r="R216" s="39" t="s">
        <v>346</v>
      </c>
      <c r="S216" s="7">
        <f t="shared" si="13"/>
        <v>4209.4484292805209</v>
      </c>
    </row>
    <row r="217" spans="1:19" x14ac:dyDescent="0.35">
      <c r="A217" s="3" t="s">
        <v>22</v>
      </c>
      <c r="B217" s="16">
        <v>3.6990834623853557E-4</v>
      </c>
      <c r="C217" s="8" t="s">
        <v>240</v>
      </c>
      <c r="D217" s="33" t="str">
        <f t="shared" si="12"/>
        <v>No</v>
      </c>
      <c r="E217" s="19">
        <f>$B217*'Teva Payments'!C$26</f>
        <v>1237.1814460759588</v>
      </c>
      <c r="F217" s="19">
        <v>1266.4100000000001</v>
      </c>
      <c r="G217" s="19">
        <f>$B217*'Teva Payments'!E$26</f>
        <v>1381.1864136657994</v>
      </c>
      <c r="H217" s="19">
        <f>$B217*'Teva Payments'!F$26</f>
        <v>1381.1864136657994</v>
      </c>
      <c r="I217" s="19">
        <f>$B217*'Teva Payments'!G$26</f>
        <v>1381.1864136657994</v>
      </c>
      <c r="J217" s="19">
        <f>$B217*'Teva Payments'!H$26</f>
        <v>1381.1864136657994</v>
      </c>
      <c r="K217" s="19">
        <f>$B217*'Teva Payments'!I$26</f>
        <v>1381.1864136048412</v>
      </c>
      <c r="L217" s="19">
        <f>$B217*'Teva Payments'!J$26</f>
        <v>1381.1864136048412</v>
      </c>
      <c r="M217" s="19">
        <f>$B217*'Teva Payments'!K$26</f>
        <v>1381.1864136048412</v>
      </c>
      <c r="N217" s="19">
        <f>$B217*'Teva Payments'!L$26</f>
        <v>1381.1864136048412</v>
      </c>
      <c r="O217" s="19">
        <f>$B217*'Teva Payments'!M$26</f>
        <v>1381.1864136048412</v>
      </c>
      <c r="P217" s="19">
        <f>$B217*'Teva Payments'!N$26</f>
        <v>1381.1864136048412</v>
      </c>
      <c r="Q217" s="19">
        <f>$B217*'Teva Payments'!O$26</f>
        <v>1381.1988186041456</v>
      </c>
      <c r="R217" s="39" t="s">
        <v>346</v>
      </c>
      <c r="S217" s="7">
        <f t="shared" si="13"/>
        <v>17696.654400972348</v>
      </c>
    </row>
    <row r="218" spans="1:19" x14ac:dyDescent="0.35">
      <c r="A218" s="3" t="s">
        <v>34</v>
      </c>
      <c r="B218" s="16">
        <v>3.3688147393600002E-3</v>
      </c>
      <c r="C218" s="8" t="s">
        <v>241</v>
      </c>
      <c r="D218" s="33" t="str">
        <f t="shared" si="12"/>
        <v>No</v>
      </c>
      <c r="E218" s="19">
        <f>$B218*'Teva Payments'!C$26</f>
        <v>11267.210197295139</v>
      </c>
      <c r="F218" s="19">
        <v>11533.39</v>
      </c>
      <c r="G218" s="19">
        <f>$B218*'Teva Payments'!E$26</f>
        <v>12578.686573242818</v>
      </c>
      <c r="H218" s="19">
        <f>$B218*'Teva Payments'!F$26</f>
        <v>12578.68657324282</v>
      </c>
      <c r="I218" s="19">
        <f>$B218*'Teva Payments'!G$26</f>
        <v>12578.68657324282</v>
      </c>
      <c r="J218" s="19">
        <f>$B218*'Teva Payments'!H$26</f>
        <v>12578.68657324282</v>
      </c>
      <c r="K218" s="19">
        <f>$B218*'Teva Payments'!I$26</f>
        <v>12578.686572687664</v>
      </c>
      <c r="L218" s="19">
        <f>$B218*'Teva Payments'!J$26</f>
        <v>12578.686572687664</v>
      </c>
      <c r="M218" s="19">
        <f>$B218*'Teva Payments'!K$26</f>
        <v>12578.686572687664</v>
      </c>
      <c r="N218" s="19">
        <f>$B218*'Teva Payments'!L$26</f>
        <v>12578.686572687664</v>
      </c>
      <c r="O218" s="19">
        <f>$B218*'Teva Payments'!M$26</f>
        <v>12578.686572687664</v>
      </c>
      <c r="P218" s="19">
        <f>$B218*'Teva Payments'!N$26</f>
        <v>12578.686572687664</v>
      </c>
      <c r="Q218" s="19">
        <f>$B218*'Teva Payments'!O$26</f>
        <v>12578.799547009337</v>
      </c>
      <c r="R218" s="39" t="s">
        <v>346</v>
      </c>
      <c r="S218" s="7">
        <f t="shared" si="13"/>
        <v>161166.26547340179</v>
      </c>
    </row>
    <row r="219" spans="1:19" x14ac:dyDescent="0.35">
      <c r="A219" s="3" t="s">
        <v>121</v>
      </c>
      <c r="B219" s="16">
        <v>8.6247881362653192E-5</v>
      </c>
      <c r="C219" s="8" t="s">
        <v>242</v>
      </c>
      <c r="D219" s="33" t="str">
        <f t="shared" si="12"/>
        <v>No</v>
      </c>
      <c r="E219" s="19">
        <f>$B219*'Teva Payments'!C$26</f>
        <v>288.46139772263126</v>
      </c>
      <c r="F219" s="19">
        <v>295.27999999999997</v>
      </c>
      <c r="G219" s="19">
        <f>$B219*'Teva Payments'!E$26</f>
        <v>322.03761595781583</v>
      </c>
      <c r="H219" s="19">
        <f>$B219*'Teva Payments'!F$26</f>
        <v>322.03761595781589</v>
      </c>
      <c r="I219" s="19">
        <f>$B219*'Teva Payments'!G$26</f>
        <v>322.03761595781589</v>
      </c>
      <c r="J219" s="19">
        <f>$B219*'Teva Payments'!H$26</f>
        <v>322.03761595781589</v>
      </c>
      <c r="K219" s="19">
        <f>$B219*'Teva Payments'!I$26</f>
        <v>322.03761594360282</v>
      </c>
      <c r="L219" s="19">
        <f>$B219*'Teva Payments'!J$26</f>
        <v>322.03761594360282</v>
      </c>
      <c r="M219" s="19">
        <f>$B219*'Teva Payments'!K$26</f>
        <v>322.03761594360282</v>
      </c>
      <c r="N219" s="19">
        <f>$B219*'Teva Payments'!L$26</f>
        <v>322.03761594360282</v>
      </c>
      <c r="O219" s="19">
        <f>$B219*'Teva Payments'!M$26</f>
        <v>322.03761594360282</v>
      </c>
      <c r="P219" s="19">
        <f>$B219*'Teva Payments'!N$26</f>
        <v>322.03761594360282</v>
      </c>
      <c r="Q219" s="19">
        <f>$B219*'Teva Payments'!O$26</f>
        <v>322.04050829496282</v>
      </c>
      <c r="R219" s="39" t="s">
        <v>346</v>
      </c>
      <c r="S219" s="7">
        <f t="shared" si="13"/>
        <v>4126.1580655104744</v>
      </c>
    </row>
    <row r="220" spans="1:19" x14ac:dyDescent="0.35">
      <c r="A220" s="3" t="s">
        <v>121</v>
      </c>
      <c r="B220" s="16">
        <v>1.5570980204524306E-3</v>
      </c>
      <c r="C220" s="8" t="s">
        <v>243</v>
      </c>
      <c r="D220" s="33" t="str">
        <f t="shared" si="12"/>
        <v>No</v>
      </c>
      <c r="E220" s="19">
        <f>$B220*'Teva Payments'!C$26</f>
        <v>5207.8110705377339</v>
      </c>
      <c r="F220" s="19">
        <v>5330.84</v>
      </c>
      <c r="G220" s="19">
        <f>$B220*'Teva Payments'!E$26</f>
        <v>5813.987849865829</v>
      </c>
      <c r="H220" s="19">
        <f>$B220*'Teva Payments'!F$26</f>
        <v>5813.987849865829</v>
      </c>
      <c r="I220" s="19">
        <f>$B220*'Teva Payments'!G$26</f>
        <v>5813.987849865829</v>
      </c>
      <c r="J220" s="19">
        <f>$B220*'Teva Payments'!H$26</f>
        <v>5813.987849865829</v>
      </c>
      <c r="K220" s="19">
        <f>$B220*'Teva Payments'!I$26</f>
        <v>5813.9878496092306</v>
      </c>
      <c r="L220" s="19">
        <f>$B220*'Teva Payments'!J$26</f>
        <v>5813.9878496092306</v>
      </c>
      <c r="M220" s="19">
        <f>$B220*'Teva Payments'!K$26</f>
        <v>5813.9878496092306</v>
      </c>
      <c r="N220" s="19">
        <f>$B220*'Teva Payments'!L$26</f>
        <v>5813.9878496092306</v>
      </c>
      <c r="O220" s="19">
        <f>$B220*'Teva Payments'!M$26</f>
        <v>5813.9878496092306</v>
      </c>
      <c r="P220" s="19">
        <f>$B220*'Teva Payments'!N$26</f>
        <v>5813.9878496092306</v>
      </c>
      <c r="Q220" s="19">
        <f>$B220*'Teva Payments'!O$26</f>
        <v>5814.0400674087396</v>
      </c>
      <c r="R220" s="39" t="s">
        <v>346</v>
      </c>
      <c r="S220" s="7">
        <f t="shared" si="13"/>
        <v>74492.569635065156</v>
      </c>
    </row>
    <row r="221" spans="1:19" x14ac:dyDescent="0.35">
      <c r="A221" s="3" t="s">
        <v>83</v>
      </c>
      <c r="B221" s="16">
        <v>5.8689546567199742E-4</v>
      </c>
      <c r="C221" s="8" t="s">
        <v>244</v>
      </c>
      <c r="D221" s="33" t="str">
        <f t="shared" si="12"/>
        <v>No</v>
      </c>
      <c r="E221" s="19">
        <f>$B221*'Teva Payments'!C$26</f>
        <v>1962.9083482406247</v>
      </c>
      <c r="F221" s="19">
        <v>2009.28</v>
      </c>
      <c r="G221" s="19">
        <f>$B221*'Teva Payments'!E$26</f>
        <v>2191.3861951779313</v>
      </c>
      <c r="H221" s="19">
        <f>$B221*'Teva Payments'!F$26</f>
        <v>2191.3861951779318</v>
      </c>
      <c r="I221" s="19">
        <f>$B221*'Teva Payments'!G$26</f>
        <v>2191.3861951779318</v>
      </c>
      <c r="J221" s="19">
        <f>$B221*'Teva Payments'!H$26</f>
        <v>2191.3861951779318</v>
      </c>
      <c r="K221" s="19">
        <f>$B221*'Teva Payments'!I$26</f>
        <v>2191.3861950812156</v>
      </c>
      <c r="L221" s="19">
        <f>$B221*'Teva Payments'!J$26</f>
        <v>2191.3861950812156</v>
      </c>
      <c r="M221" s="19">
        <f>$B221*'Teva Payments'!K$26</f>
        <v>2191.3861950812156</v>
      </c>
      <c r="N221" s="19">
        <f>$B221*'Teva Payments'!L$26</f>
        <v>2191.3861950812156</v>
      </c>
      <c r="O221" s="19">
        <f>$B221*'Teva Payments'!M$26</f>
        <v>2191.3861950812156</v>
      </c>
      <c r="P221" s="19">
        <f>$B221*'Teva Payments'!N$26</f>
        <v>2191.3861950812156</v>
      </c>
      <c r="Q221" s="19">
        <f>$B221*'Teva Payments'!O$26</f>
        <v>2191.4058768156706</v>
      </c>
      <c r="R221" s="39" t="s">
        <v>346</v>
      </c>
      <c r="S221" s="7">
        <f t="shared" si="13"/>
        <v>28077.456176255324</v>
      </c>
    </row>
    <row r="222" spans="1:19" x14ac:dyDescent="0.35">
      <c r="A222" s="3" t="s">
        <v>245</v>
      </c>
      <c r="B222" s="16">
        <v>1.6298467953600002E-3</v>
      </c>
      <c r="C222" s="8" t="s">
        <v>245</v>
      </c>
      <c r="D222" s="33" t="str">
        <f t="shared" si="12"/>
        <v>No</v>
      </c>
      <c r="E222" s="19">
        <f>$B222*'Teva Payments'!C$26</f>
        <v>5451.1238680336919</v>
      </c>
      <c r="F222" s="19">
        <v>5579.9</v>
      </c>
      <c r="G222" s="19">
        <f>$B222*'Teva Payments'!E$26</f>
        <v>6085.6216762850145</v>
      </c>
      <c r="H222" s="19">
        <f>$B222*'Teva Payments'!F$26</f>
        <v>6085.6216762850154</v>
      </c>
      <c r="I222" s="19">
        <f>$B222*'Teva Payments'!G$26</f>
        <v>6085.6216762850154</v>
      </c>
      <c r="J222" s="19">
        <f>$B222*'Teva Payments'!H$26</f>
        <v>6085.6216762850154</v>
      </c>
      <c r="K222" s="19">
        <f>$B222*'Teva Payments'!I$26</f>
        <v>6085.6216760164289</v>
      </c>
      <c r="L222" s="19">
        <f>$B222*'Teva Payments'!J$26</f>
        <v>6085.6216760164289</v>
      </c>
      <c r="M222" s="19">
        <f>$B222*'Teva Payments'!K$26</f>
        <v>6085.6216760164289</v>
      </c>
      <c r="N222" s="19">
        <f>$B222*'Teva Payments'!L$26</f>
        <v>6085.6216760164289</v>
      </c>
      <c r="O222" s="19">
        <f>$B222*'Teva Payments'!M$26</f>
        <v>6085.6216760164289</v>
      </c>
      <c r="P222" s="19">
        <f>$B222*'Teva Payments'!N$26</f>
        <v>6085.6216760164289</v>
      </c>
      <c r="Q222" s="19">
        <f>$B222*'Teva Payments'!O$26</f>
        <v>6085.6763334702764</v>
      </c>
      <c r="R222" s="39" t="s">
        <v>346</v>
      </c>
      <c r="S222" s="7">
        <f t="shared" si="13"/>
        <v>77972.916962742602</v>
      </c>
    </row>
    <row r="223" spans="1:19" x14ac:dyDescent="0.35">
      <c r="A223" s="3" t="s">
        <v>22</v>
      </c>
      <c r="B223" s="16">
        <v>1.2666525541676524E-3</v>
      </c>
      <c r="C223" s="8" t="s">
        <v>246</v>
      </c>
      <c r="D223" s="33" t="str">
        <f t="shared" si="12"/>
        <v>No</v>
      </c>
      <c r="E223" s="19">
        <f>$B223*'Teva Payments'!C$26</f>
        <v>4236.3981634261672</v>
      </c>
      <c r="F223" s="19">
        <v>4336.4799999999996</v>
      </c>
      <c r="G223" s="19">
        <f>$B223*'Teva Payments'!E$26</f>
        <v>4729.5047988003198</v>
      </c>
      <c r="H223" s="19">
        <f>$B223*'Teva Payments'!F$26</f>
        <v>4729.5047988003207</v>
      </c>
      <c r="I223" s="19">
        <f>$B223*'Teva Payments'!G$26</f>
        <v>4729.5047988003207</v>
      </c>
      <c r="J223" s="19">
        <f>$B223*'Teva Payments'!H$26</f>
        <v>4729.5047988003207</v>
      </c>
      <c r="K223" s="19">
        <f>$B223*'Teva Payments'!I$26</f>
        <v>4729.5047985915853</v>
      </c>
      <c r="L223" s="19">
        <f>$B223*'Teva Payments'!J$26</f>
        <v>4729.5047985915853</v>
      </c>
      <c r="M223" s="19">
        <f>$B223*'Teva Payments'!K$26</f>
        <v>4729.5047985915853</v>
      </c>
      <c r="N223" s="19">
        <f>$B223*'Teva Payments'!L$26</f>
        <v>4729.5047985915853</v>
      </c>
      <c r="O223" s="19">
        <f>$B223*'Teva Payments'!M$26</f>
        <v>4729.5047985915853</v>
      </c>
      <c r="P223" s="19">
        <f>$B223*'Teva Payments'!N$26</f>
        <v>4729.5047985915853</v>
      </c>
      <c r="Q223" s="19">
        <f>$B223*'Teva Payments'!O$26</f>
        <v>4729.5472762058725</v>
      </c>
      <c r="R223" s="39" t="s">
        <v>346</v>
      </c>
      <c r="S223" s="7">
        <f t="shared" si="13"/>
        <v>60597.473426382843</v>
      </c>
    </row>
    <row r="224" spans="1:19" x14ac:dyDescent="0.35">
      <c r="A224" s="3" t="s">
        <v>22</v>
      </c>
      <c r="B224" s="16">
        <v>2.8839077355712506E-4</v>
      </c>
      <c r="C224" s="8" t="s">
        <v>247</v>
      </c>
      <c r="D224" s="33" t="str">
        <f t="shared" si="12"/>
        <v>No</v>
      </c>
      <c r="E224" s="19">
        <f>$B224*'Teva Payments'!C$26</f>
        <v>964.54085962767385</v>
      </c>
      <c r="F224" s="19">
        <v>987.33</v>
      </c>
      <c r="G224" s="19">
        <f>$B224*'Teva Payments'!E$26</f>
        <v>1076.8111136557418</v>
      </c>
      <c r="H224" s="19">
        <f>$B224*'Teva Payments'!F$26</f>
        <v>1076.8111136557418</v>
      </c>
      <c r="I224" s="19">
        <f>$B224*'Teva Payments'!G$26</f>
        <v>1076.8111136557418</v>
      </c>
      <c r="J224" s="19">
        <f>$B224*'Teva Payments'!H$26</f>
        <v>1076.8111136557418</v>
      </c>
      <c r="K224" s="19">
        <f>$B224*'Teva Payments'!I$26</f>
        <v>1076.8111136082171</v>
      </c>
      <c r="L224" s="19">
        <f>$B224*'Teva Payments'!J$26</f>
        <v>1076.8111136082171</v>
      </c>
      <c r="M224" s="19">
        <f>$B224*'Teva Payments'!K$26</f>
        <v>1076.8111136082171</v>
      </c>
      <c r="N224" s="19">
        <f>$B224*'Teva Payments'!L$26</f>
        <v>1076.8111136082171</v>
      </c>
      <c r="O224" s="19">
        <f>$B224*'Teva Payments'!M$26</f>
        <v>1076.8111136082171</v>
      </c>
      <c r="P224" s="19">
        <f>$B224*'Teva Payments'!N$26</f>
        <v>1076.8111136082171</v>
      </c>
      <c r="Q224" s="19">
        <f>$B224*'Teva Payments'!O$26</f>
        <v>1076.8207848886348</v>
      </c>
      <c r="R224" s="39" t="s">
        <v>346</v>
      </c>
      <c r="S224" s="7">
        <f t="shared" si="13"/>
        <v>13796.802780788577</v>
      </c>
    </row>
    <row r="225" spans="1:19" x14ac:dyDescent="0.35">
      <c r="A225" s="3" t="s">
        <v>34</v>
      </c>
      <c r="B225" s="16">
        <v>2.3853655851105939E-4</v>
      </c>
      <c r="C225" s="8" t="s">
        <v>248</v>
      </c>
      <c r="D225" s="33" t="str">
        <f t="shared" si="12"/>
        <v>No</v>
      </c>
      <c r="E225" s="19">
        <f>$B225*'Teva Payments'!C$26</f>
        <v>797.80034000744399</v>
      </c>
      <c r="F225" s="19">
        <v>816.65</v>
      </c>
      <c r="G225" s="19">
        <f>$B225*'Teva Payments'!E$26</f>
        <v>890.66239550490582</v>
      </c>
      <c r="H225" s="19">
        <f>$B225*'Teva Payments'!F$26</f>
        <v>890.66239550490593</v>
      </c>
      <c r="I225" s="19">
        <f>$B225*'Teva Payments'!G$26</f>
        <v>890.66239550490593</v>
      </c>
      <c r="J225" s="19">
        <f>$B225*'Teva Payments'!H$26</f>
        <v>890.66239550490593</v>
      </c>
      <c r="K225" s="19">
        <f>$B225*'Teva Payments'!I$26</f>
        <v>890.66239546559677</v>
      </c>
      <c r="L225" s="19">
        <f>$B225*'Teva Payments'!J$26</f>
        <v>890.66239546559677</v>
      </c>
      <c r="M225" s="19">
        <f>$B225*'Teva Payments'!K$26</f>
        <v>890.66239546559677</v>
      </c>
      <c r="N225" s="19">
        <f>$B225*'Teva Payments'!L$26</f>
        <v>890.66239546559677</v>
      </c>
      <c r="O225" s="19">
        <f>$B225*'Teva Payments'!M$26</f>
        <v>890.66239546559677</v>
      </c>
      <c r="P225" s="19">
        <f>$B225*'Teva Payments'!N$26</f>
        <v>890.66239546559677</v>
      </c>
      <c r="Q225" s="19">
        <f>$B225*'Teva Payments'!O$26</f>
        <v>890.67039486834744</v>
      </c>
      <c r="R225" s="39" t="s">
        <v>346</v>
      </c>
      <c r="S225" s="7">
        <f t="shared" si="13"/>
        <v>11411.744689688998</v>
      </c>
    </row>
    <row r="226" spans="1:19" x14ac:dyDescent="0.35">
      <c r="A226" s="3" t="s">
        <v>34</v>
      </c>
      <c r="B226" s="16">
        <v>4.0386057204984545E-4</v>
      </c>
      <c r="C226" s="8" t="s">
        <v>249</v>
      </c>
      <c r="D226" s="33" t="str">
        <f t="shared" si="12"/>
        <v>No</v>
      </c>
      <c r="E226" s="19">
        <f>$B226*'Teva Payments'!C$26</f>
        <v>1350.7367747239014</v>
      </c>
      <c r="F226" s="19">
        <v>1382.65</v>
      </c>
      <c r="G226" s="19">
        <f>$B226*'Teva Payments'!E$26</f>
        <v>1507.9593115502246</v>
      </c>
      <c r="H226" s="19">
        <f>$B226*'Teva Payments'!F$26</f>
        <v>1507.9593115502246</v>
      </c>
      <c r="I226" s="19">
        <f>$B226*'Teva Payments'!G$26</f>
        <v>1507.9593115502246</v>
      </c>
      <c r="J226" s="19">
        <f>$B226*'Teva Payments'!H$26</f>
        <v>1507.9593115502246</v>
      </c>
      <c r="K226" s="19">
        <f>$B226*'Teva Payments'!I$26</f>
        <v>1507.9593114836714</v>
      </c>
      <c r="L226" s="19">
        <f>$B226*'Teva Payments'!J$26</f>
        <v>1507.9593114836714</v>
      </c>
      <c r="M226" s="19">
        <f>$B226*'Teva Payments'!K$26</f>
        <v>1507.9593114836714</v>
      </c>
      <c r="N226" s="19">
        <f>$B226*'Teva Payments'!L$26</f>
        <v>1507.9593114836714</v>
      </c>
      <c r="O226" s="19">
        <f>$B226*'Teva Payments'!M$26</f>
        <v>1507.9593114836714</v>
      </c>
      <c r="P226" s="19">
        <f>$B226*'Teva Payments'!N$26</f>
        <v>1507.9593114836714</v>
      </c>
      <c r="Q226" s="19">
        <f>$B226*'Teva Payments'!O$26</f>
        <v>1507.9728550821499</v>
      </c>
      <c r="R226" s="39" t="s">
        <v>346</v>
      </c>
      <c r="S226" s="7">
        <f t="shared" si="13"/>
        <v>19320.952744908976</v>
      </c>
    </row>
    <row r="227" spans="1:19" x14ac:dyDescent="0.35">
      <c r="A227" s="3" t="s">
        <v>22</v>
      </c>
      <c r="B227" s="16">
        <v>1.0430545820800002E-3</v>
      </c>
      <c r="C227" s="8" t="s">
        <v>250</v>
      </c>
      <c r="D227" s="33" t="str">
        <f t="shared" si="12"/>
        <v>No</v>
      </c>
      <c r="E227" s="19">
        <f>$B227*'Teva Payments'!C$26</f>
        <v>3488.560853833083</v>
      </c>
      <c r="F227" s="19">
        <v>3570.98</v>
      </c>
      <c r="G227" s="19">
        <f>$B227*'Teva Payments'!E$26</f>
        <v>3894.6210112051617</v>
      </c>
      <c r="H227" s="19">
        <f>$B227*'Teva Payments'!F$26</f>
        <v>3894.6210112051622</v>
      </c>
      <c r="I227" s="19">
        <f>$B227*'Teva Payments'!G$26</f>
        <v>3894.6210112051622</v>
      </c>
      <c r="J227" s="19">
        <f>$B227*'Teva Payments'!H$26</f>
        <v>3894.6210112051622</v>
      </c>
      <c r="K227" s="19">
        <f>$B227*'Teva Payments'!I$26</f>
        <v>3894.621011033274</v>
      </c>
      <c r="L227" s="19">
        <f>$B227*'Teva Payments'!J$26</f>
        <v>3894.621011033274</v>
      </c>
      <c r="M227" s="19">
        <f>$B227*'Teva Payments'!K$26</f>
        <v>3894.621011033274</v>
      </c>
      <c r="N227" s="19">
        <f>$B227*'Teva Payments'!L$26</f>
        <v>3894.621011033274</v>
      </c>
      <c r="O227" s="19">
        <f>$B227*'Teva Payments'!M$26</f>
        <v>3894.621011033274</v>
      </c>
      <c r="P227" s="19">
        <f>$B227*'Teva Payments'!N$26</f>
        <v>3894.621011033274</v>
      </c>
      <c r="Q227" s="19">
        <f>$B227*'Teva Payments'!O$26</f>
        <v>3894.6559902152708</v>
      </c>
      <c r="R227" s="39" t="s">
        <v>346</v>
      </c>
      <c r="S227" s="7">
        <f t="shared" si="13"/>
        <v>49900.406955068662</v>
      </c>
    </row>
    <row r="228" spans="1:19" x14ac:dyDescent="0.35">
      <c r="A228" s="3" t="s">
        <v>251</v>
      </c>
      <c r="B228" s="16">
        <v>4.3018366798400001E-3</v>
      </c>
      <c r="C228" s="8" t="s">
        <v>251</v>
      </c>
      <c r="D228" s="33" t="str">
        <f t="shared" si="12"/>
        <v>No</v>
      </c>
      <c r="E228" s="19">
        <f>$B228*'Teva Payments'!C$26</f>
        <v>14387.760045065486</v>
      </c>
      <c r="F228" s="19">
        <v>14727.66</v>
      </c>
      <c r="G228" s="19">
        <f>$B228*'Teva Payments'!E$26</f>
        <v>16062.460975597265</v>
      </c>
      <c r="H228" s="19">
        <f>$B228*'Teva Payments'!F$26</f>
        <v>16062.460975597267</v>
      </c>
      <c r="I228" s="19">
        <f>$B228*'Teva Payments'!G$26</f>
        <v>16062.460975597267</v>
      </c>
      <c r="J228" s="19">
        <f>$B228*'Teva Payments'!H$26</f>
        <v>16062.460975597267</v>
      </c>
      <c r="K228" s="19">
        <f>$B228*'Teva Payments'!I$26</f>
        <v>16062.460974888354</v>
      </c>
      <c r="L228" s="19">
        <f>$B228*'Teva Payments'!J$26</f>
        <v>16062.460974888354</v>
      </c>
      <c r="M228" s="19">
        <f>$B228*'Teva Payments'!K$26</f>
        <v>16062.460974888354</v>
      </c>
      <c r="N228" s="19">
        <f>$B228*'Teva Payments'!L$26</f>
        <v>16062.460974888354</v>
      </c>
      <c r="O228" s="19">
        <f>$B228*'Teva Payments'!M$26</f>
        <v>16062.460974888354</v>
      </c>
      <c r="P228" s="19">
        <f>$B228*'Teva Payments'!N$26</f>
        <v>16062.460974888354</v>
      </c>
      <c r="Q228" s="19">
        <f>$B228*'Teva Payments'!O$26</f>
        <v>16062.605238410828</v>
      </c>
      <c r="R228" s="39" t="s">
        <v>346</v>
      </c>
      <c r="S228" s="7">
        <f t="shared" si="13"/>
        <v>205802.63503519548</v>
      </c>
    </row>
    <row r="229" spans="1:19" x14ac:dyDescent="0.35">
      <c r="A229" s="3" t="s">
        <v>75</v>
      </c>
      <c r="B229" s="16">
        <v>2.5535928015214338E-3</v>
      </c>
      <c r="C229" s="8" t="s">
        <v>252</v>
      </c>
      <c r="D229" s="33" t="str">
        <f t="shared" si="12"/>
        <v>No</v>
      </c>
      <c r="E229" s="19">
        <f>$B229*'Teva Payments'!C$26</f>
        <v>8540.6497771699287</v>
      </c>
      <c r="F229" s="19">
        <v>8742.42</v>
      </c>
      <c r="G229" s="19">
        <f>$B229*'Teva Payments'!E$26</f>
        <v>9534.7610275919833</v>
      </c>
      <c r="H229" s="19">
        <f>$B229*'Teva Payments'!F$26</f>
        <v>9534.7610275919833</v>
      </c>
      <c r="I229" s="19">
        <f>$B229*'Teva Payments'!G$26</f>
        <v>9534.7610275919833</v>
      </c>
      <c r="J229" s="19">
        <f>$B229*'Teva Payments'!H$26</f>
        <v>9534.7610275919833</v>
      </c>
      <c r="K229" s="19">
        <f>$B229*'Teva Payments'!I$26</f>
        <v>9534.7610271711692</v>
      </c>
      <c r="L229" s="19">
        <f>$B229*'Teva Payments'!J$26</f>
        <v>9534.7610271711692</v>
      </c>
      <c r="M229" s="19">
        <f>$B229*'Teva Payments'!K$26</f>
        <v>9534.7610271711692</v>
      </c>
      <c r="N229" s="19">
        <f>$B229*'Teva Payments'!L$26</f>
        <v>9534.7610271711692</v>
      </c>
      <c r="O229" s="19">
        <f>$B229*'Teva Payments'!M$26</f>
        <v>9534.7610271711692</v>
      </c>
      <c r="P229" s="19">
        <f>$B229*'Teva Payments'!N$26</f>
        <v>9534.7610271711692</v>
      </c>
      <c r="Q229" s="19">
        <f>$B229*'Teva Payments'!O$26</f>
        <v>9534.8466627542766</v>
      </c>
      <c r="R229" s="39" t="s">
        <v>346</v>
      </c>
      <c r="S229" s="7">
        <f t="shared" si="13"/>
        <v>122165.52671331918</v>
      </c>
    </row>
    <row r="230" spans="1:19" x14ac:dyDescent="0.35">
      <c r="A230" s="3" t="s">
        <v>34</v>
      </c>
      <c r="B230" s="16">
        <v>1.5512635402572228E-3</v>
      </c>
      <c r="C230" s="8" t="s">
        <v>253</v>
      </c>
      <c r="D230" s="33" t="str">
        <f t="shared" si="12"/>
        <v>No</v>
      </c>
      <c r="E230" s="19">
        <f>$B230*'Teva Payments'!C$26</f>
        <v>5188.2972890337232</v>
      </c>
      <c r="F230" s="19">
        <v>5310.87</v>
      </c>
      <c r="G230" s="19">
        <f>$B230*'Teva Payments'!E$26</f>
        <v>5792.202710767544</v>
      </c>
      <c r="H230" s="19">
        <f>$B230*'Teva Payments'!F$26</f>
        <v>5792.202710767544</v>
      </c>
      <c r="I230" s="19">
        <f>$B230*'Teva Payments'!G$26</f>
        <v>5792.202710767544</v>
      </c>
      <c r="J230" s="19">
        <f>$B230*'Teva Payments'!H$26</f>
        <v>5792.202710767544</v>
      </c>
      <c r="K230" s="19">
        <f>$B230*'Teva Payments'!I$26</f>
        <v>5792.2027105119068</v>
      </c>
      <c r="L230" s="19">
        <f>$B230*'Teva Payments'!J$26</f>
        <v>5792.2027105119068</v>
      </c>
      <c r="M230" s="19">
        <f>$B230*'Teva Payments'!K$26</f>
        <v>5792.2027105119068</v>
      </c>
      <c r="N230" s="19">
        <f>$B230*'Teva Payments'!L$26</f>
        <v>5792.2027105119068</v>
      </c>
      <c r="O230" s="19">
        <f>$B230*'Teva Payments'!M$26</f>
        <v>5792.2027105119068</v>
      </c>
      <c r="P230" s="19">
        <f>$B230*'Teva Payments'!N$26</f>
        <v>5792.2027105119068</v>
      </c>
      <c r="Q230" s="19">
        <f>$B230*'Teva Payments'!O$26</f>
        <v>5792.2547326501835</v>
      </c>
      <c r="R230" s="39" t="s">
        <v>346</v>
      </c>
      <c r="S230" s="7">
        <f t="shared" si="13"/>
        <v>74213.449127825515</v>
      </c>
    </row>
    <row r="231" spans="1:19" x14ac:dyDescent="0.35">
      <c r="A231" s="3" t="s">
        <v>254</v>
      </c>
      <c r="B231" s="16">
        <v>4.1352700239291102E-4</v>
      </c>
      <c r="C231" s="8" t="s">
        <v>255</v>
      </c>
      <c r="D231" s="33" t="str">
        <f t="shared" si="12"/>
        <v>No</v>
      </c>
      <c r="E231" s="19">
        <f>$B231*'Teva Payments'!C$26</f>
        <v>1383.0667515731247</v>
      </c>
      <c r="F231" s="19">
        <v>1415.74</v>
      </c>
      <c r="G231" s="19">
        <f>$B231*'Teva Payments'!E$26</f>
        <v>1544.0524205439845</v>
      </c>
      <c r="H231" s="19">
        <f>$B231*'Teva Payments'!F$26</f>
        <v>1544.0524205439847</v>
      </c>
      <c r="I231" s="19">
        <f>$B231*'Teva Payments'!G$26</f>
        <v>1544.0524205439847</v>
      </c>
      <c r="J231" s="19">
        <f>$B231*'Teva Payments'!H$26</f>
        <v>1544.0524205439847</v>
      </c>
      <c r="K231" s="19">
        <f>$B231*'Teva Payments'!I$26</f>
        <v>1544.0524204758385</v>
      </c>
      <c r="L231" s="19">
        <f>$B231*'Teva Payments'!J$26</f>
        <v>1544.0524204758385</v>
      </c>
      <c r="M231" s="19">
        <f>$B231*'Teva Payments'!K$26</f>
        <v>1544.0524204758385</v>
      </c>
      <c r="N231" s="19">
        <f>$B231*'Teva Payments'!L$26</f>
        <v>1544.0524204758385</v>
      </c>
      <c r="O231" s="19">
        <f>$B231*'Teva Payments'!M$26</f>
        <v>1544.0524204758385</v>
      </c>
      <c r="P231" s="19">
        <f>$B231*'Teva Payments'!N$26</f>
        <v>1544.0524204758385</v>
      </c>
      <c r="Q231" s="19">
        <f>$B231*'Teva Payments'!O$26</f>
        <v>1544.0662882412705</v>
      </c>
      <c r="R231" s="39" t="s">
        <v>346</v>
      </c>
      <c r="S231" s="7">
        <f t="shared" si="13"/>
        <v>19783.397244845368</v>
      </c>
    </row>
    <row r="232" spans="1:19" x14ac:dyDescent="0.35">
      <c r="A232" s="3" t="s">
        <v>254</v>
      </c>
      <c r="B232" s="16">
        <v>2.5740509013613654E-3</v>
      </c>
      <c r="C232" s="8" t="s">
        <v>256</v>
      </c>
      <c r="D232" s="33" t="str">
        <f t="shared" si="12"/>
        <v>No</v>
      </c>
      <c r="E232" s="19">
        <f>$B232*'Teva Payments'!C$26</f>
        <v>8609.0731631283834</v>
      </c>
      <c r="F232" s="19">
        <v>8812.4599999999991</v>
      </c>
      <c r="G232" s="19">
        <f>$B232*'Teva Payments'!E$26</f>
        <v>9611.148732372536</v>
      </c>
      <c r="H232" s="19">
        <f>$B232*'Teva Payments'!F$26</f>
        <v>9611.1487323725378</v>
      </c>
      <c r="I232" s="19">
        <f>$B232*'Teva Payments'!G$26</f>
        <v>9611.1487323725378</v>
      </c>
      <c r="J232" s="19">
        <f>$B232*'Teva Payments'!H$26</f>
        <v>9611.1487323725378</v>
      </c>
      <c r="K232" s="19">
        <f>$B232*'Teva Payments'!I$26</f>
        <v>9611.1487319483513</v>
      </c>
      <c r="L232" s="19">
        <f>$B232*'Teva Payments'!J$26</f>
        <v>9611.1487319483513</v>
      </c>
      <c r="M232" s="19">
        <f>$B232*'Teva Payments'!K$26</f>
        <v>9611.1487319483513</v>
      </c>
      <c r="N232" s="19">
        <f>$B232*'Teva Payments'!L$26</f>
        <v>9611.1487319483513</v>
      </c>
      <c r="O232" s="19">
        <f>$B232*'Teva Payments'!M$26</f>
        <v>9611.1487319483513</v>
      </c>
      <c r="P232" s="19">
        <f>$B232*'Teva Payments'!N$26</f>
        <v>9611.1487319483513</v>
      </c>
      <c r="Q232" s="19">
        <f>$B232*'Teva Payments'!O$26</f>
        <v>9611.2350536006343</v>
      </c>
      <c r="R232" s="39" t="s">
        <v>346</v>
      </c>
      <c r="S232" s="7">
        <f t="shared" si="13"/>
        <v>123144.25553790931</v>
      </c>
    </row>
    <row r="233" spans="1:19" x14ac:dyDescent="0.35">
      <c r="A233" s="3" t="s">
        <v>254</v>
      </c>
      <c r="B233" s="16">
        <v>1.8052764385600002E-2</v>
      </c>
      <c r="C233" s="8" t="s">
        <v>254</v>
      </c>
      <c r="D233" s="33" t="str">
        <f t="shared" si="12"/>
        <v>No</v>
      </c>
      <c r="E233" s="19">
        <f>$B233*'Teva Payments'!C$26</f>
        <v>60378.592090059879</v>
      </c>
      <c r="F233" s="19">
        <v>61805.01</v>
      </c>
      <c r="G233" s="19">
        <f>$B233*'Teva Payments'!E$26</f>
        <v>67406.516106078023</v>
      </c>
      <c r="H233" s="19">
        <f>$B233*'Teva Payments'!F$26</f>
        <v>67406.516106078023</v>
      </c>
      <c r="I233" s="19">
        <f>$B233*'Teva Payments'!G$26</f>
        <v>67406.516106078023</v>
      </c>
      <c r="J233" s="19">
        <f>$B233*'Teva Payments'!H$26</f>
        <v>67406.516106078023</v>
      </c>
      <c r="K233" s="19">
        <f>$B233*'Teva Payments'!I$26</f>
        <v>67406.516103103058</v>
      </c>
      <c r="L233" s="19">
        <f>$B233*'Teva Payments'!J$26</f>
        <v>67406.516103103058</v>
      </c>
      <c r="M233" s="19">
        <f>$B233*'Teva Payments'!K$26</f>
        <v>67406.516103103058</v>
      </c>
      <c r="N233" s="19">
        <f>$B233*'Teva Payments'!L$26</f>
        <v>67406.516103103058</v>
      </c>
      <c r="O233" s="19">
        <f>$B233*'Teva Payments'!M$26</f>
        <v>67406.516103103058</v>
      </c>
      <c r="P233" s="19">
        <f>$B233*'Teva Payments'!N$26</f>
        <v>67406.516103103058</v>
      </c>
      <c r="Q233" s="19">
        <f>$B233*'Teva Payments'!O$26</f>
        <v>67407.121508555312</v>
      </c>
      <c r="R233" s="39" t="s">
        <v>346</v>
      </c>
      <c r="S233" s="7">
        <f t="shared" si="13"/>
        <v>863655.88464154559</v>
      </c>
    </row>
    <row r="234" spans="1:19" x14ac:dyDescent="0.35">
      <c r="A234" s="3" t="s">
        <v>257</v>
      </c>
      <c r="B234" s="16">
        <v>3.8845852225600007E-3</v>
      </c>
      <c r="C234" s="8" t="s">
        <v>257</v>
      </c>
      <c r="D234" s="33" t="str">
        <f t="shared" si="12"/>
        <v>No</v>
      </c>
      <c r="E234" s="19">
        <f>$B234*'Teva Payments'!C$26</f>
        <v>12992.236622725379</v>
      </c>
      <c r="F234" s="19">
        <v>13299.17</v>
      </c>
      <c r="G234" s="19">
        <f>$B234*'Teva Payments'!E$26</f>
        <v>14504.501957538878</v>
      </c>
      <c r="H234" s="19">
        <f>$B234*'Teva Payments'!F$26</f>
        <v>14504.50195753888</v>
      </c>
      <c r="I234" s="19">
        <f>$B234*'Teva Payments'!G$26</f>
        <v>14504.50195753888</v>
      </c>
      <c r="J234" s="19">
        <f>$B234*'Teva Payments'!H$26</f>
        <v>14504.50195753888</v>
      </c>
      <c r="K234" s="19">
        <f>$B234*'Teva Payments'!I$26</f>
        <v>14504.501956898726</v>
      </c>
      <c r="L234" s="19">
        <f>$B234*'Teva Payments'!J$26</f>
        <v>14504.501956898726</v>
      </c>
      <c r="M234" s="19">
        <f>$B234*'Teva Payments'!K$26</f>
        <v>14504.501956898726</v>
      </c>
      <c r="N234" s="19">
        <f>$B234*'Teva Payments'!L$26</f>
        <v>14504.501956898726</v>
      </c>
      <c r="O234" s="19">
        <f>$B234*'Teva Payments'!M$26</f>
        <v>14504.501956898726</v>
      </c>
      <c r="P234" s="19">
        <f>$B234*'Teva Payments'!N$26</f>
        <v>14504.501956898726</v>
      </c>
      <c r="Q234" s="19">
        <f>$B234*'Teva Payments'!O$26</f>
        <v>14504.632227754937</v>
      </c>
      <c r="R234" s="39" t="s">
        <v>346</v>
      </c>
      <c r="S234" s="7">
        <f t="shared" si="13"/>
        <v>185841.05842202817</v>
      </c>
    </row>
    <row r="235" spans="1:19" x14ac:dyDescent="0.35">
      <c r="A235" s="3" t="s">
        <v>77</v>
      </c>
      <c r="B235" s="16">
        <v>1.1028617297600002E-3</v>
      </c>
      <c r="C235" s="8" t="s">
        <v>258</v>
      </c>
      <c r="D235" s="33" t="str">
        <f t="shared" si="12"/>
        <v>No</v>
      </c>
      <c r="E235" s="19">
        <f>$B235*'Teva Payments'!C$26</f>
        <v>3688.5895750144828</v>
      </c>
      <c r="F235" s="19">
        <v>3775.73</v>
      </c>
      <c r="G235" s="19">
        <f>$B235*'Teva Payments'!E$26</f>
        <v>4117.9325981312168</v>
      </c>
      <c r="H235" s="19">
        <f>$B235*'Teva Payments'!F$26</f>
        <v>4117.9325981312177</v>
      </c>
      <c r="I235" s="19">
        <f>$B235*'Teva Payments'!G$26</f>
        <v>4117.9325981312177</v>
      </c>
      <c r="J235" s="19">
        <f>$B235*'Teva Payments'!H$26</f>
        <v>4117.9325981312177</v>
      </c>
      <c r="K235" s="19">
        <f>$B235*'Teva Payments'!I$26</f>
        <v>4117.9325979494733</v>
      </c>
      <c r="L235" s="19">
        <f>$B235*'Teva Payments'!J$26</f>
        <v>4117.9325979494733</v>
      </c>
      <c r="M235" s="19">
        <f>$B235*'Teva Payments'!K$26</f>
        <v>4117.9325979494733</v>
      </c>
      <c r="N235" s="19">
        <f>$B235*'Teva Payments'!L$26</f>
        <v>4117.9325979494733</v>
      </c>
      <c r="O235" s="19">
        <f>$B235*'Teva Payments'!M$26</f>
        <v>4117.9325979494733</v>
      </c>
      <c r="P235" s="19">
        <f>$B235*'Teva Payments'!N$26</f>
        <v>4117.9325979494733</v>
      </c>
      <c r="Q235" s="19">
        <f>$B235*'Teva Payments'!O$26</f>
        <v>4117.9695827840405</v>
      </c>
      <c r="R235" s="39" t="s">
        <v>346</v>
      </c>
      <c r="S235" s="7">
        <f t="shared" si="13"/>
        <v>52761.615138020243</v>
      </c>
    </row>
    <row r="236" spans="1:19" x14ac:dyDescent="0.35">
      <c r="A236" s="3" t="s">
        <v>259</v>
      </c>
      <c r="B236" s="16">
        <v>4.7180115840645136E-4</v>
      </c>
      <c r="C236" s="8" t="s">
        <v>259</v>
      </c>
      <c r="D236" s="33" t="str">
        <f t="shared" si="12"/>
        <v>No</v>
      </c>
      <c r="E236" s="19">
        <f>$B236*'Teva Payments'!C$26</f>
        <v>1577.9682868826224</v>
      </c>
      <c r="F236" s="19">
        <v>1615.25</v>
      </c>
      <c r="G236" s="19">
        <f>$B236*'Teva Payments'!E$26</f>
        <v>1761.6400293995055</v>
      </c>
      <c r="H236" s="19">
        <f>$B236*'Teva Payments'!F$26</f>
        <v>1761.6400293995055</v>
      </c>
      <c r="I236" s="19">
        <f>$B236*'Teva Payments'!G$26</f>
        <v>1761.6400293995055</v>
      </c>
      <c r="J236" s="19">
        <f>$B236*'Teva Payments'!H$26</f>
        <v>1761.6400293995055</v>
      </c>
      <c r="K236" s="19">
        <f>$B236*'Teva Payments'!I$26</f>
        <v>1761.6400293217562</v>
      </c>
      <c r="L236" s="19">
        <f>$B236*'Teva Payments'!J$26</f>
        <v>1761.6400293217562</v>
      </c>
      <c r="M236" s="19">
        <f>$B236*'Teva Payments'!K$26</f>
        <v>1761.6400293217562</v>
      </c>
      <c r="N236" s="19">
        <f>$B236*'Teva Payments'!L$26</f>
        <v>1761.6400293217562</v>
      </c>
      <c r="O236" s="19">
        <f>$B236*'Teva Payments'!M$26</f>
        <v>1761.6400293217562</v>
      </c>
      <c r="P236" s="19">
        <f>$B236*'Teva Payments'!N$26</f>
        <v>1761.6400293217562</v>
      </c>
      <c r="Q236" s="19">
        <f>$B236*'Teva Payments'!O$26</f>
        <v>1761.6558513303735</v>
      </c>
      <c r="R236" s="39" t="s">
        <v>346</v>
      </c>
      <c r="S236" s="7">
        <f t="shared" si="13"/>
        <v>22571.274431741549</v>
      </c>
    </row>
    <row r="237" spans="1:19" x14ac:dyDescent="0.35">
      <c r="A237" s="3" t="s">
        <v>28</v>
      </c>
      <c r="B237" s="16">
        <v>3.0790140802788518E-5</v>
      </c>
      <c r="C237" s="8" t="s">
        <v>260</v>
      </c>
      <c r="D237" s="33" t="str">
        <f t="shared" si="12"/>
        <v>Yes</v>
      </c>
      <c r="E237" s="19">
        <f>B237*'Teva Payments'!$Q$26</f>
        <v>1482.5739085329756</v>
      </c>
      <c r="F237" s="19">
        <v>0</v>
      </c>
      <c r="G237" s="52">
        <f>$B237*'Teva Payments'!E$26</f>
        <v>114.96611142762634</v>
      </c>
      <c r="H237" s="52">
        <f>$B237*'Teva Payments'!F$26</f>
        <v>114.96611142762636</v>
      </c>
      <c r="I237" s="52">
        <f>$B237*'Teva Payments'!G$26</f>
        <v>114.96611142762636</v>
      </c>
      <c r="J237" s="52">
        <f>$B237*'Teva Payments'!H$26</f>
        <v>114.96611142762636</v>
      </c>
      <c r="K237" s="52">
        <f>$B237*'Teva Payments'!I$26</f>
        <v>114.96611142255236</v>
      </c>
      <c r="L237" s="52">
        <f>$B237*'Teva Payments'!J$26</f>
        <v>114.96611142255236</v>
      </c>
      <c r="M237" s="52">
        <f>$B237*'Teva Payments'!K$26</f>
        <v>114.96611142255236</v>
      </c>
      <c r="N237" s="52">
        <f>$B237*'Teva Payments'!L$26</f>
        <v>114.96611142255236</v>
      </c>
      <c r="O237" s="52">
        <f>$B237*'Teva Payments'!M$26</f>
        <v>114.96611142255236</v>
      </c>
      <c r="P237" s="52">
        <f>$B237*'Teva Payments'!N$26</f>
        <v>114.96611142255236</v>
      </c>
      <c r="Q237" s="52">
        <f>$B237*'Teva Payments'!O$26</f>
        <v>114.96714398015514</v>
      </c>
      <c r="R237" s="39" t="s">
        <v>346</v>
      </c>
      <c r="S237" s="7">
        <f>E237</f>
        <v>1482.5739085329756</v>
      </c>
    </row>
    <row r="238" spans="1:19" x14ac:dyDescent="0.35">
      <c r="A238" s="3" t="s">
        <v>75</v>
      </c>
      <c r="B238" s="16">
        <v>3.0268607449793141E-3</v>
      </c>
      <c r="C238" s="8" t="s">
        <v>261</v>
      </c>
      <c r="D238" s="33" t="str">
        <f t="shared" si="12"/>
        <v>No</v>
      </c>
      <c r="E238" s="19">
        <f>$B238*'Teva Payments'!C$26</f>
        <v>10123.523817787125</v>
      </c>
      <c r="F238" s="19">
        <v>10362.69</v>
      </c>
      <c r="G238" s="19">
        <f>$B238*'Teva Payments'!E$26</f>
        <v>11301.877828752391</v>
      </c>
      <c r="H238" s="19">
        <f>$B238*'Teva Payments'!F$26</f>
        <v>11301.877828752393</v>
      </c>
      <c r="I238" s="19">
        <f>$B238*'Teva Payments'!G$26</f>
        <v>11301.877828752393</v>
      </c>
      <c r="J238" s="19">
        <f>$B238*'Teva Payments'!H$26</f>
        <v>11301.877828752393</v>
      </c>
      <c r="K238" s="19">
        <f>$B238*'Teva Payments'!I$26</f>
        <v>11301.877828253588</v>
      </c>
      <c r="L238" s="19">
        <f>$B238*'Teva Payments'!J$26</f>
        <v>11301.877828253588</v>
      </c>
      <c r="M238" s="19">
        <f>$B238*'Teva Payments'!K$26</f>
        <v>11301.877828253588</v>
      </c>
      <c r="N238" s="19">
        <f>$B238*'Teva Payments'!L$26</f>
        <v>11301.877828253588</v>
      </c>
      <c r="O238" s="19">
        <f>$B238*'Teva Payments'!M$26</f>
        <v>11301.877828253588</v>
      </c>
      <c r="P238" s="19">
        <f>$B238*'Teva Payments'!N$26</f>
        <v>11301.877828253588</v>
      </c>
      <c r="Q238" s="19">
        <f>$B238*'Teva Payments'!O$26</f>
        <v>11301.979335034437</v>
      </c>
      <c r="R238" s="39" t="s">
        <v>346</v>
      </c>
      <c r="S238" s="7">
        <f t="shared" si="13"/>
        <v>144806.97143735268</v>
      </c>
    </row>
    <row r="239" spans="1:19" x14ac:dyDescent="0.35">
      <c r="A239" s="3" t="s">
        <v>234</v>
      </c>
      <c r="B239" s="16">
        <v>8.1260410302400003E-3</v>
      </c>
      <c r="C239" s="8" t="s">
        <v>234</v>
      </c>
      <c r="D239" s="33" t="str">
        <f t="shared" si="12"/>
        <v>No</v>
      </c>
      <c r="E239" s="19">
        <f>$B239*'Teva Payments'!C$26</f>
        <v>27178.049089441105</v>
      </c>
      <c r="F239" s="19">
        <v>27820.12</v>
      </c>
      <c r="G239" s="19">
        <f>$B239*'Teva Payments'!E$26</f>
        <v>30341.50913864699</v>
      </c>
      <c r="H239" s="19">
        <f>$B239*'Teva Payments'!F$26</f>
        <v>30341.509138646994</v>
      </c>
      <c r="I239" s="19">
        <f>$B239*'Teva Payments'!G$26</f>
        <v>30341.509138646994</v>
      </c>
      <c r="J239" s="19">
        <f>$B239*'Teva Payments'!H$26</f>
        <v>30341.509138646994</v>
      </c>
      <c r="K239" s="19">
        <f>$B239*'Teva Payments'!I$26</f>
        <v>30341.509137307883</v>
      </c>
      <c r="L239" s="19">
        <f>$B239*'Teva Payments'!J$26</f>
        <v>30341.509137307883</v>
      </c>
      <c r="M239" s="19">
        <f>$B239*'Teva Payments'!K$26</f>
        <v>30341.509137307883</v>
      </c>
      <c r="N239" s="19">
        <f>$B239*'Teva Payments'!L$26</f>
        <v>30341.509137307883</v>
      </c>
      <c r="O239" s="19">
        <f>$B239*'Teva Payments'!M$26</f>
        <v>30341.509137307883</v>
      </c>
      <c r="P239" s="19">
        <f>$B239*'Teva Payments'!N$26</f>
        <v>30341.509137307883</v>
      </c>
      <c r="Q239" s="19">
        <f>$B239*'Teva Payments'!O$26</f>
        <v>30341.781646793952</v>
      </c>
      <c r="R239" s="39" t="s">
        <v>346</v>
      </c>
      <c r="S239" s="7">
        <f t="shared" si="13"/>
        <v>388755.04211467027</v>
      </c>
    </row>
    <row r="240" spans="1:19" x14ac:dyDescent="0.35">
      <c r="A240" s="3" t="s">
        <v>34</v>
      </c>
      <c r="B240" s="16">
        <v>1.547383996257214E-4</v>
      </c>
      <c r="C240" s="8" t="s">
        <v>262</v>
      </c>
      <c r="D240" s="33" t="str">
        <f t="shared" si="12"/>
        <v>No</v>
      </c>
      <c r="E240" s="19">
        <f>$B240*'Teva Payments'!C$26</f>
        <v>517.53219130930268</v>
      </c>
      <c r="F240" s="19">
        <v>529.76</v>
      </c>
      <c r="G240" s="19">
        <f>$B240*'Teva Payments'!E$26</f>
        <v>577.77170320351809</v>
      </c>
      <c r="H240" s="19">
        <f>$B240*'Teva Payments'!F$26</f>
        <v>577.7717032035182</v>
      </c>
      <c r="I240" s="19">
        <f>$B240*'Teva Payments'!G$26</f>
        <v>577.7717032035182</v>
      </c>
      <c r="J240" s="19">
        <f>$B240*'Teva Payments'!H$26</f>
        <v>577.7717032035182</v>
      </c>
      <c r="K240" s="19">
        <f>$B240*'Teva Payments'!I$26</f>
        <v>577.77170317801836</v>
      </c>
      <c r="L240" s="19">
        <f>$B240*'Teva Payments'!J$26</f>
        <v>577.77170317801836</v>
      </c>
      <c r="M240" s="19">
        <f>$B240*'Teva Payments'!K$26</f>
        <v>577.77170317801836</v>
      </c>
      <c r="N240" s="19">
        <f>$B240*'Teva Payments'!L$26</f>
        <v>577.77170317801836</v>
      </c>
      <c r="O240" s="19">
        <f>$B240*'Teva Payments'!M$26</f>
        <v>577.77170317801836</v>
      </c>
      <c r="P240" s="19">
        <f>$B240*'Teva Payments'!N$26</f>
        <v>577.77170317801836</v>
      </c>
      <c r="Q240" s="19">
        <f>$B240*'Teva Payments'!O$26</f>
        <v>577.77689238166636</v>
      </c>
      <c r="R240" s="39" t="s">
        <v>346</v>
      </c>
      <c r="S240" s="7">
        <f t="shared" si="13"/>
        <v>7402.7861155731525</v>
      </c>
    </row>
    <row r="241" spans="1:19" x14ac:dyDescent="0.35">
      <c r="A241" s="3" t="s">
        <v>34</v>
      </c>
      <c r="B241" s="16">
        <v>2.3508376415386128E-3</v>
      </c>
      <c r="C241" s="8" t="s">
        <v>263</v>
      </c>
      <c r="D241" s="33" t="str">
        <f t="shared" si="12"/>
        <v>No</v>
      </c>
      <c r="E241" s="19">
        <f>$B241*'Teva Payments'!C$26</f>
        <v>7862.5225476070918</v>
      </c>
      <c r="F241" s="19">
        <v>8048.27</v>
      </c>
      <c r="G241" s="19">
        <f>$B241*'Teva Payments'!E$26</f>
        <v>8777.7014069682227</v>
      </c>
      <c r="H241" s="19">
        <f>$B241*'Teva Payments'!F$26</f>
        <v>8777.7014069682245</v>
      </c>
      <c r="I241" s="19">
        <f>$B241*'Teva Payments'!G$26</f>
        <v>8777.7014069682245</v>
      </c>
      <c r="J241" s="19">
        <f>$B241*'Teva Payments'!H$26</f>
        <v>8777.7014069682245</v>
      </c>
      <c r="K241" s="19">
        <f>$B241*'Teva Payments'!I$26</f>
        <v>8777.7014065808235</v>
      </c>
      <c r="L241" s="19">
        <f>$B241*'Teva Payments'!J$26</f>
        <v>8777.7014065808235</v>
      </c>
      <c r="M241" s="19">
        <f>$B241*'Teva Payments'!K$26</f>
        <v>8777.7014065808235</v>
      </c>
      <c r="N241" s="19">
        <f>$B241*'Teva Payments'!L$26</f>
        <v>8777.7014065808235</v>
      </c>
      <c r="O241" s="19">
        <f>$B241*'Teva Payments'!M$26</f>
        <v>8777.7014065808235</v>
      </c>
      <c r="P241" s="19">
        <f>$B241*'Teva Payments'!N$26</f>
        <v>8777.7014065808235</v>
      </c>
      <c r="Q241" s="19">
        <f>$B241*'Teva Payments'!O$26</f>
        <v>8777.7802427022689</v>
      </c>
      <c r="R241" s="39" t="s">
        <v>346</v>
      </c>
      <c r="S241" s="7">
        <f t="shared" si="13"/>
        <v>112465.58685766718</v>
      </c>
    </row>
    <row r="242" spans="1:19" x14ac:dyDescent="0.35">
      <c r="A242" s="3" t="s">
        <v>34</v>
      </c>
      <c r="B242" s="16">
        <v>6.650644637706374E-7</v>
      </c>
      <c r="C242" s="8" t="s">
        <v>264</v>
      </c>
      <c r="D242" s="33" t="str">
        <f t="shared" si="12"/>
        <v>Yes</v>
      </c>
      <c r="E242" s="19">
        <f>B242*'Teva Payments'!$Q$26</f>
        <v>32.023472311939649</v>
      </c>
      <c r="F242" s="19">
        <v>0</v>
      </c>
      <c r="G242" s="52">
        <f>$B242*'Teva Payments'!E$26</f>
        <v>2.4832583825496846</v>
      </c>
      <c r="H242" s="52">
        <f>$B242*'Teva Payments'!F$26</f>
        <v>2.483258382549685</v>
      </c>
      <c r="I242" s="52">
        <f>$B242*'Teva Payments'!G$26</f>
        <v>2.483258382549685</v>
      </c>
      <c r="J242" s="52">
        <f>$B242*'Teva Payments'!H$26</f>
        <v>2.483258382549685</v>
      </c>
      <c r="K242" s="52">
        <f>$B242*'Teva Payments'!I$26</f>
        <v>2.4832583824400869</v>
      </c>
      <c r="L242" s="52">
        <f>$B242*'Teva Payments'!J$26</f>
        <v>2.4832583824400869</v>
      </c>
      <c r="M242" s="52">
        <f>$B242*'Teva Payments'!K$26</f>
        <v>2.4832583824400869</v>
      </c>
      <c r="N242" s="52">
        <f>$B242*'Teva Payments'!L$26</f>
        <v>2.4832583824400869</v>
      </c>
      <c r="O242" s="52">
        <f>$B242*'Teva Payments'!M$26</f>
        <v>2.4832583824400869</v>
      </c>
      <c r="P242" s="52">
        <f>$B242*'Teva Payments'!N$26</f>
        <v>2.4832583824400869</v>
      </c>
      <c r="Q242" s="52">
        <f>$B242*'Teva Payments'!O$26</f>
        <v>2.4832806855978675</v>
      </c>
      <c r="R242" s="39" t="s">
        <v>346</v>
      </c>
      <c r="S242" s="7">
        <f>E242</f>
        <v>32.023472311939649</v>
      </c>
    </row>
    <row r="243" spans="1:19" x14ac:dyDescent="0.35">
      <c r="A243" s="3" t="s">
        <v>22</v>
      </c>
      <c r="B243" s="16">
        <v>5.308730362373128E-4</v>
      </c>
      <c r="C243" s="8" t="s">
        <v>265</v>
      </c>
      <c r="D243" s="33" t="str">
        <f t="shared" ref="D243:D263" si="14">IF(B243&lt;0.000083,"Yes","No")</f>
        <v>No</v>
      </c>
      <c r="E243" s="19">
        <f>$B243*'Teva Payments'!C$26</f>
        <v>1775.5378523719075</v>
      </c>
      <c r="F243" s="19">
        <v>1817.48</v>
      </c>
      <c r="G243" s="19">
        <f>$B243*'Teva Payments'!E$26</f>
        <v>1982.2062207800559</v>
      </c>
      <c r="H243" s="19">
        <f>$B243*'Teva Payments'!F$26</f>
        <v>1982.2062207800561</v>
      </c>
      <c r="I243" s="19">
        <f>$B243*'Teva Payments'!G$26</f>
        <v>1982.2062207800561</v>
      </c>
      <c r="J243" s="19">
        <f>$B243*'Teva Payments'!H$26</f>
        <v>1982.2062207800561</v>
      </c>
      <c r="K243" s="19">
        <f>$B243*'Teva Payments'!I$26</f>
        <v>1982.2062206925721</v>
      </c>
      <c r="L243" s="19">
        <f>$B243*'Teva Payments'!J$26</f>
        <v>1982.2062206925721</v>
      </c>
      <c r="M243" s="19">
        <f>$B243*'Teva Payments'!K$26</f>
        <v>1982.2062206925721</v>
      </c>
      <c r="N243" s="19">
        <f>$B243*'Teva Payments'!L$26</f>
        <v>1982.2062206925721</v>
      </c>
      <c r="O243" s="19">
        <f>$B243*'Teva Payments'!M$26</f>
        <v>1982.2062206925721</v>
      </c>
      <c r="P243" s="19">
        <f>$B243*'Teva Payments'!N$26</f>
        <v>1982.2062206925721</v>
      </c>
      <c r="Q243" s="19">
        <f>$B243*'Teva Payments'!O$26</f>
        <v>1982.2240236962407</v>
      </c>
      <c r="R243" s="39" t="s">
        <v>346</v>
      </c>
      <c r="S243" s="7">
        <f t="shared" si="13"/>
        <v>25397.304083343806</v>
      </c>
    </row>
    <row r="244" spans="1:19" x14ac:dyDescent="0.35">
      <c r="A244" s="3" t="s">
        <v>24</v>
      </c>
      <c r="B244" s="16">
        <v>6.2120900177538814E-5</v>
      </c>
      <c r="C244" s="8" t="s">
        <v>266</v>
      </c>
      <c r="D244" s="33" t="str">
        <f t="shared" si="14"/>
        <v>Yes</v>
      </c>
      <c r="E244" s="19">
        <f>B244*'Teva Payments'!$Q$26</f>
        <v>2991.1791039766722</v>
      </c>
      <c r="F244" s="19">
        <v>0</v>
      </c>
      <c r="G244" s="52">
        <f>$B244*'Teva Payments'!E$26</f>
        <v>231.95081755353914</v>
      </c>
      <c r="H244" s="52">
        <f>$B244*'Teva Payments'!F$26</f>
        <v>231.95081755353917</v>
      </c>
      <c r="I244" s="52">
        <f>$B244*'Teva Payments'!G$26</f>
        <v>231.95081755353917</v>
      </c>
      <c r="J244" s="52">
        <f>$B244*'Teva Payments'!H$26</f>
        <v>231.95081755353917</v>
      </c>
      <c r="K244" s="52">
        <f>$B244*'Teva Payments'!I$26</f>
        <v>231.95081754330207</v>
      </c>
      <c r="L244" s="52">
        <f>$B244*'Teva Payments'!J$26</f>
        <v>231.95081754330207</v>
      </c>
      <c r="M244" s="52">
        <f>$B244*'Teva Payments'!K$26</f>
        <v>231.95081754330207</v>
      </c>
      <c r="N244" s="52">
        <f>$B244*'Teva Payments'!L$26</f>
        <v>231.95081754330207</v>
      </c>
      <c r="O244" s="52">
        <f>$B244*'Teva Payments'!M$26</f>
        <v>231.95081754330207</v>
      </c>
      <c r="P244" s="52">
        <f>$B244*'Teva Payments'!N$26</f>
        <v>231.95081754330207</v>
      </c>
      <c r="Q244" s="52">
        <f>$B244*'Teva Payments'!O$26</f>
        <v>231.95290078833108</v>
      </c>
      <c r="R244" s="39" t="s">
        <v>346</v>
      </c>
      <c r="S244" s="7">
        <f t="shared" ref="S244:S245" si="15">E244</f>
        <v>2991.1791039766722</v>
      </c>
    </row>
    <row r="245" spans="1:19" x14ac:dyDescent="0.35">
      <c r="A245" s="3" t="s">
        <v>34</v>
      </c>
      <c r="B245" s="16">
        <v>2.6713434479427391E-5</v>
      </c>
      <c r="C245" s="8" t="s">
        <v>267</v>
      </c>
      <c r="D245" s="33" t="str">
        <f t="shared" si="14"/>
        <v>Yes</v>
      </c>
      <c r="E245" s="19">
        <f>B245*'Teva Payments'!$Q$26</f>
        <v>1286.2767085143505</v>
      </c>
      <c r="F245" s="19">
        <v>0</v>
      </c>
      <c r="G245" s="52">
        <f>$B245*'Teva Payments'!E$26</f>
        <v>99.744255950213329</v>
      </c>
      <c r="H245" s="52">
        <f>$B245*'Teva Payments'!F$26</f>
        <v>99.744255950213343</v>
      </c>
      <c r="I245" s="52">
        <f>$B245*'Teva Payments'!G$26</f>
        <v>99.744255950213343</v>
      </c>
      <c r="J245" s="52">
        <f>$B245*'Teva Payments'!H$26</f>
        <v>99.744255950213343</v>
      </c>
      <c r="K245" s="52">
        <f>$B245*'Teva Payments'!I$26</f>
        <v>99.744255945811162</v>
      </c>
      <c r="L245" s="52">
        <f>$B245*'Teva Payments'!J$26</f>
        <v>99.744255945811162</v>
      </c>
      <c r="M245" s="52">
        <f>$B245*'Teva Payments'!K$26</f>
        <v>99.744255945811162</v>
      </c>
      <c r="N245" s="52">
        <f>$B245*'Teva Payments'!L$26</f>
        <v>99.744255945811162</v>
      </c>
      <c r="O245" s="52">
        <f>$B245*'Teva Payments'!M$26</f>
        <v>99.744255945811162</v>
      </c>
      <c r="P245" s="52">
        <f>$B245*'Teva Payments'!N$26</f>
        <v>99.744255945811162</v>
      </c>
      <c r="Q245" s="52">
        <f>$B245*'Teva Payments'!O$26</f>
        <v>99.745151789712779</v>
      </c>
      <c r="R245" s="39" t="s">
        <v>346</v>
      </c>
      <c r="S245" s="7">
        <f t="shared" si="15"/>
        <v>1286.2767085143505</v>
      </c>
    </row>
    <row r="246" spans="1:19" x14ac:dyDescent="0.35">
      <c r="A246" s="3" t="s">
        <v>121</v>
      </c>
      <c r="B246" s="16">
        <v>2.2355271010240003E-2</v>
      </c>
      <c r="C246" s="8" t="s">
        <v>121</v>
      </c>
      <c r="D246" s="33" t="str">
        <f t="shared" si="14"/>
        <v>No</v>
      </c>
      <c r="E246" s="19">
        <f>$B246*'Teva Payments'!C$26</f>
        <v>74768.592807132052</v>
      </c>
      <c r="F246" s="19">
        <v>76534.97</v>
      </c>
      <c r="G246" s="19">
        <f>$B246*'Teva Payments'!E$26</f>
        <v>83471.478562555829</v>
      </c>
      <c r="H246" s="19">
        <f>$B246*'Teva Payments'!F$26</f>
        <v>83471.478562555829</v>
      </c>
      <c r="I246" s="19">
        <f>$B246*'Teva Payments'!G$26</f>
        <v>83471.478562555829</v>
      </c>
      <c r="J246" s="19">
        <f>$B246*'Teva Payments'!H$26</f>
        <v>83471.478562555829</v>
      </c>
      <c r="K246" s="19">
        <f>$B246*'Teva Payments'!I$26</f>
        <v>83471.478558871837</v>
      </c>
      <c r="L246" s="19">
        <f>$B246*'Teva Payments'!J$26</f>
        <v>83471.478558871837</v>
      </c>
      <c r="M246" s="19">
        <f>$B246*'Teva Payments'!K$26</f>
        <v>83471.478558871837</v>
      </c>
      <c r="N246" s="19">
        <f>$B246*'Teva Payments'!L$26</f>
        <v>83471.478558871837</v>
      </c>
      <c r="O246" s="19">
        <f>$B246*'Teva Payments'!M$26</f>
        <v>83471.478558871837</v>
      </c>
      <c r="P246" s="19">
        <f>$B246*'Teva Payments'!N$26</f>
        <v>83471.478558871837</v>
      </c>
      <c r="Q246" s="19">
        <f>$B246*'Teva Payments'!O$26</f>
        <v>83472.22825031339</v>
      </c>
      <c r="R246" s="39" t="s">
        <v>346</v>
      </c>
      <c r="S246" s="7">
        <f t="shared" si="13"/>
        <v>1069490.5766609001</v>
      </c>
    </row>
    <row r="247" spans="1:19" x14ac:dyDescent="0.35">
      <c r="A247" s="3" t="s">
        <v>268</v>
      </c>
      <c r="B247" s="16">
        <v>2.5489421581211444E-3</v>
      </c>
      <c r="C247" s="8" t="s">
        <v>268</v>
      </c>
      <c r="D247" s="33" t="str">
        <f t="shared" si="14"/>
        <v>No</v>
      </c>
      <c r="E247" s="19">
        <f>$B247*'Teva Payments'!C$26</f>
        <v>8525.0954113772659</v>
      </c>
      <c r="F247" s="19">
        <v>8726.5</v>
      </c>
      <c r="G247" s="19">
        <f>$B247*'Teva Payments'!E$26</f>
        <v>9517.3961707440594</v>
      </c>
      <c r="H247" s="19">
        <f>$B247*'Teva Payments'!F$26</f>
        <v>9517.3961707440612</v>
      </c>
      <c r="I247" s="19">
        <f>$B247*'Teva Payments'!G$26</f>
        <v>9517.3961707440612</v>
      </c>
      <c r="J247" s="19">
        <f>$B247*'Teva Payments'!H$26</f>
        <v>9517.3961707440612</v>
      </c>
      <c r="K247" s="19">
        <f>$B247*'Teva Payments'!I$26</f>
        <v>9517.3961703240129</v>
      </c>
      <c r="L247" s="19">
        <f>$B247*'Teva Payments'!J$26</f>
        <v>9517.3961703240129</v>
      </c>
      <c r="M247" s="19">
        <f>$B247*'Teva Payments'!K$26</f>
        <v>9517.3961703240129</v>
      </c>
      <c r="N247" s="19">
        <f>$B247*'Teva Payments'!L$26</f>
        <v>9517.3961703240129</v>
      </c>
      <c r="O247" s="19">
        <f>$B247*'Teva Payments'!M$26</f>
        <v>9517.3961703240129</v>
      </c>
      <c r="P247" s="19">
        <f>$B247*'Teva Payments'!N$26</f>
        <v>9517.3961703240129</v>
      </c>
      <c r="Q247" s="19">
        <f>$B247*'Teva Payments'!O$26</f>
        <v>9517.4816499462486</v>
      </c>
      <c r="R247" s="39" t="s">
        <v>346</v>
      </c>
      <c r="S247" s="7">
        <f t="shared" si="13"/>
        <v>121943.03876624382</v>
      </c>
    </row>
    <row r="248" spans="1:19" x14ac:dyDescent="0.35">
      <c r="A248" s="3" t="s">
        <v>75</v>
      </c>
      <c r="B248" s="16">
        <v>2.0311040435780645E-3</v>
      </c>
      <c r="C248" s="8" t="s">
        <v>269</v>
      </c>
      <c r="D248" s="33" t="str">
        <f t="shared" si="14"/>
        <v>No</v>
      </c>
      <c r="E248" s="19">
        <f>$B248*'Teva Payments'!C$26</f>
        <v>6793.1536644599737</v>
      </c>
      <c r="F248" s="19">
        <v>6953.64</v>
      </c>
      <c r="G248" s="19">
        <f>$B248*'Teva Payments'!E$26</f>
        <v>7583.8605380443878</v>
      </c>
      <c r="H248" s="19">
        <f>$B248*'Teva Payments'!F$26</f>
        <v>7583.8605380443887</v>
      </c>
      <c r="I248" s="19">
        <f>$B248*'Teva Payments'!G$26</f>
        <v>7583.8605380443887</v>
      </c>
      <c r="J248" s="19">
        <f>$B248*'Teva Payments'!H$26</f>
        <v>7583.8605380443887</v>
      </c>
      <c r="K248" s="19">
        <f>$B248*'Teva Payments'!I$26</f>
        <v>7583.8605377096774</v>
      </c>
      <c r="L248" s="19">
        <f>$B248*'Teva Payments'!J$26</f>
        <v>7583.8605377096774</v>
      </c>
      <c r="M248" s="19">
        <f>$B248*'Teva Payments'!K$26</f>
        <v>7583.8605377096774</v>
      </c>
      <c r="N248" s="19">
        <f>$B248*'Teva Payments'!L$26</f>
        <v>7583.8605377096774</v>
      </c>
      <c r="O248" s="19">
        <f>$B248*'Teva Payments'!M$26</f>
        <v>7583.8605377096774</v>
      </c>
      <c r="P248" s="19">
        <f>$B248*'Teva Payments'!N$26</f>
        <v>7583.8605377096774</v>
      </c>
      <c r="Q248" s="19">
        <f>$B248*'Teva Payments'!O$26</f>
        <v>7583.9286514586747</v>
      </c>
      <c r="R248" s="39" t="s">
        <v>346</v>
      </c>
      <c r="S248" s="7">
        <f t="shared" si="13"/>
        <v>97169.327694354273</v>
      </c>
    </row>
    <row r="249" spans="1:19" x14ac:dyDescent="0.35">
      <c r="A249" s="3" t="s">
        <v>75</v>
      </c>
      <c r="B249" s="16">
        <v>1.053645978224E-2</v>
      </c>
      <c r="C249" s="8" t="s">
        <v>271</v>
      </c>
      <c r="D249" s="33" t="str">
        <f t="shared" si="14"/>
        <v>No</v>
      </c>
      <c r="E249" s="19">
        <f>$B249*'Teva Payments'!C$26</f>
        <v>35239.844362708449</v>
      </c>
      <c r="F249" s="19">
        <v>36072.370000000003</v>
      </c>
      <c r="G249" s="19">
        <f>$B249*'Teva Payments'!E$26</f>
        <v>39341.678140945769</v>
      </c>
      <c r="H249" s="19">
        <f>$B249*'Teva Payments'!F$26</f>
        <v>39341.678140945776</v>
      </c>
      <c r="I249" s="19">
        <f>$B249*'Teva Payments'!G$26</f>
        <v>39341.678140945776</v>
      </c>
      <c r="J249" s="19">
        <f>$B249*'Teva Payments'!H$26</f>
        <v>39341.678140945776</v>
      </c>
      <c r="K249" s="19">
        <f>$B249*'Teva Payments'!I$26</f>
        <v>39341.678139209442</v>
      </c>
      <c r="L249" s="19">
        <f>$B249*'Teva Payments'!J$26</f>
        <v>39341.678139209442</v>
      </c>
      <c r="M249" s="19">
        <f>$B249*'Teva Payments'!K$26</f>
        <v>39341.678139209442</v>
      </c>
      <c r="N249" s="19">
        <f>$B249*'Teva Payments'!L$26</f>
        <v>39341.678139209442</v>
      </c>
      <c r="O249" s="19">
        <f>$B249*'Teva Payments'!M$26</f>
        <v>39341.678139209442</v>
      </c>
      <c r="P249" s="19">
        <f>$B249*'Teva Payments'!N$26</f>
        <v>39341.678139209442</v>
      </c>
      <c r="Q249" s="19">
        <f>$B249*'Teva Payments'!O$26</f>
        <v>39342.031482889295</v>
      </c>
      <c r="R249" s="39" t="s">
        <v>346</v>
      </c>
      <c r="S249" s="7">
        <f t="shared" si="13"/>
        <v>504071.0272446376</v>
      </c>
    </row>
    <row r="250" spans="1:19" x14ac:dyDescent="0.35">
      <c r="A250" s="3" t="s">
        <v>268</v>
      </c>
      <c r="B250" s="16">
        <v>3.5811995813821466E-4</v>
      </c>
      <c r="C250" s="8" t="s">
        <v>272</v>
      </c>
      <c r="D250" s="33" t="str">
        <f t="shared" si="14"/>
        <v>No</v>
      </c>
      <c r="E250" s="19">
        <f>$B250*'Teva Payments'!C$26</f>
        <v>1197.7544496722201</v>
      </c>
      <c r="F250" s="19">
        <v>1226.05</v>
      </c>
      <c r="G250" s="19">
        <f>$B250*'Teva Payments'!E$26</f>
        <v>1337.1702089795622</v>
      </c>
      <c r="H250" s="19">
        <f>$B250*'Teva Payments'!F$26</f>
        <v>1337.1702089795624</v>
      </c>
      <c r="I250" s="19">
        <f>$B250*'Teva Payments'!G$26</f>
        <v>1337.1702089795624</v>
      </c>
      <c r="J250" s="19">
        <f>$B250*'Teva Payments'!H$26</f>
        <v>1337.1702089795624</v>
      </c>
      <c r="K250" s="19">
        <f>$B250*'Teva Payments'!I$26</f>
        <v>1337.1702089205467</v>
      </c>
      <c r="L250" s="19">
        <f>$B250*'Teva Payments'!J$26</f>
        <v>1337.1702089205467</v>
      </c>
      <c r="M250" s="19">
        <f>$B250*'Teva Payments'!K$26</f>
        <v>1337.1702089205467</v>
      </c>
      <c r="N250" s="19">
        <f>$B250*'Teva Payments'!L$26</f>
        <v>1337.1702089205467</v>
      </c>
      <c r="O250" s="19">
        <f>$B250*'Teva Payments'!M$26</f>
        <v>1337.1702089205467</v>
      </c>
      <c r="P250" s="19">
        <f>$B250*'Teva Payments'!N$26</f>
        <v>1337.1702089205467</v>
      </c>
      <c r="Q250" s="19">
        <f>$B250*'Teva Payments'!O$26</f>
        <v>1337.182218592339</v>
      </c>
      <c r="R250" s="39" t="s">
        <v>346</v>
      </c>
      <c r="S250" s="7">
        <f t="shared" si="13"/>
        <v>17132.688757706088</v>
      </c>
    </row>
    <row r="251" spans="1:19" x14ac:dyDescent="0.35">
      <c r="A251" s="3" t="s">
        <v>55</v>
      </c>
      <c r="B251" s="16">
        <v>8.7972621758440581E-5</v>
      </c>
      <c r="C251" s="8" t="s">
        <v>273</v>
      </c>
      <c r="D251" s="33" t="str">
        <f t="shared" si="14"/>
        <v>No</v>
      </c>
      <c r="E251" s="19">
        <f>$B251*'Teva Payments'!C$26</f>
        <v>294.22989913295055</v>
      </c>
      <c r="F251" s="19">
        <v>301.18</v>
      </c>
      <c r="G251" s="19">
        <f>$B251*'Teva Payments'!E$26</f>
        <v>328.47755716483573</v>
      </c>
      <c r="H251" s="19">
        <f>$B251*'Teva Payments'!F$26</f>
        <v>328.47755716483573</v>
      </c>
      <c r="I251" s="19">
        <f>$B251*'Teva Payments'!G$26</f>
        <v>328.47755716483573</v>
      </c>
      <c r="J251" s="19">
        <f>$B251*'Teva Payments'!H$26</f>
        <v>328.47755716483573</v>
      </c>
      <c r="K251" s="19">
        <f>$B251*'Teva Payments'!I$26</f>
        <v>328.4775571503385</v>
      </c>
      <c r="L251" s="19">
        <f>$B251*'Teva Payments'!J$26</f>
        <v>328.4775571503385</v>
      </c>
      <c r="M251" s="19">
        <f>$B251*'Teva Payments'!K$26</f>
        <v>328.4775571503385</v>
      </c>
      <c r="N251" s="19">
        <f>$B251*'Teva Payments'!L$26</f>
        <v>328.4775571503385</v>
      </c>
      <c r="O251" s="19">
        <f>$B251*'Teva Payments'!M$26</f>
        <v>328.4775571503385</v>
      </c>
      <c r="P251" s="19">
        <f>$B251*'Teva Payments'!N$26</f>
        <v>328.4775571503385</v>
      </c>
      <c r="Q251" s="19">
        <f>$B251*'Teva Payments'!O$26</f>
        <v>328.48050734144073</v>
      </c>
      <c r="R251" s="39" t="s">
        <v>346</v>
      </c>
      <c r="S251" s="7">
        <f t="shared" si="13"/>
        <v>4208.6659780357668</v>
      </c>
    </row>
    <row r="252" spans="1:19" x14ac:dyDescent="0.35">
      <c r="A252" s="3" t="s">
        <v>28</v>
      </c>
      <c r="B252" s="16">
        <v>7.2444420150405935E-5</v>
      </c>
      <c r="C252" s="8" t="s">
        <v>274</v>
      </c>
      <c r="D252" s="33" t="str">
        <f t="shared" si="14"/>
        <v>Yes</v>
      </c>
      <c r="E252" s="19">
        <f>B252*'Teva Payments'!$Q$26</f>
        <v>3488.2661895480933</v>
      </c>
      <c r="F252" s="19">
        <v>0</v>
      </c>
      <c r="G252" s="52">
        <f>$B252*'Teva Payments'!E$26</f>
        <v>270.49740800688579</v>
      </c>
      <c r="H252" s="52">
        <f>$B252*'Teva Payments'!F$26</f>
        <v>270.49740800688585</v>
      </c>
      <c r="I252" s="52">
        <f>$B252*'Teva Payments'!G$26</f>
        <v>270.49740800688585</v>
      </c>
      <c r="J252" s="52">
        <f>$B252*'Teva Payments'!H$26</f>
        <v>270.49740800688585</v>
      </c>
      <c r="K252" s="52">
        <f>$B252*'Teva Payments'!I$26</f>
        <v>270.49740799494748</v>
      </c>
      <c r="L252" s="52">
        <f>$B252*'Teva Payments'!J$26</f>
        <v>270.49740799494748</v>
      </c>
      <c r="M252" s="52">
        <f>$B252*'Teva Payments'!K$26</f>
        <v>270.49740799494748</v>
      </c>
      <c r="N252" s="52">
        <f>$B252*'Teva Payments'!L$26</f>
        <v>270.49740799494748</v>
      </c>
      <c r="O252" s="52">
        <f>$B252*'Teva Payments'!M$26</f>
        <v>270.49740799494748</v>
      </c>
      <c r="P252" s="52">
        <f>$B252*'Teva Payments'!N$26</f>
        <v>270.49740799494748</v>
      </c>
      <c r="Q252" s="52">
        <f>$B252*'Teva Payments'!O$26</f>
        <v>270.4998374426491</v>
      </c>
      <c r="R252" s="39" t="s">
        <v>346</v>
      </c>
      <c r="S252" s="7">
        <f>E252</f>
        <v>3488.2661895480933</v>
      </c>
    </row>
    <row r="253" spans="1:19" x14ac:dyDescent="0.35">
      <c r="A253" s="3" t="s">
        <v>22</v>
      </c>
      <c r="B253" s="16">
        <v>2.2496241948760823E-3</v>
      </c>
      <c r="C253" s="8" t="s">
        <v>275</v>
      </c>
      <c r="D253" s="33" t="str">
        <f t="shared" si="14"/>
        <v>No</v>
      </c>
      <c r="E253" s="19">
        <f>$B253*'Teva Payments'!C$26</f>
        <v>7524.0078869415729</v>
      </c>
      <c r="F253" s="19">
        <v>7701.76</v>
      </c>
      <c r="G253" s="19">
        <f>$B253*'Teva Payments'!E$26</f>
        <v>8399.7844477211656</v>
      </c>
      <c r="H253" s="19">
        <f>$B253*'Teva Payments'!F$26</f>
        <v>8399.7844477211656</v>
      </c>
      <c r="I253" s="19">
        <f>$B253*'Teva Payments'!G$26</f>
        <v>8399.7844477211656</v>
      </c>
      <c r="J253" s="19">
        <f>$B253*'Teva Payments'!H$26</f>
        <v>8399.7844477211656</v>
      </c>
      <c r="K253" s="19">
        <f>$B253*'Teva Payments'!I$26</f>
        <v>8399.7844473504447</v>
      </c>
      <c r="L253" s="19">
        <f>$B253*'Teva Payments'!J$26</f>
        <v>8399.7844473504447</v>
      </c>
      <c r="M253" s="19">
        <f>$B253*'Teva Payments'!K$26</f>
        <v>8399.7844473504447</v>
      </c>
      <c r="N253" s="19">
        <f>$B253*'Teva Payments'!L$26</f>
        <v>8399.7844473504447</v>
      </c>
      <c r="O253" s="19">
        <f>$B253*'Teva Payments'!M$26</f>
        <v>8399.7844473504447</v>
      </c>
      <c r="P253" s="19">
        <f>$B253*'Teva Payments'!N$26</f>
        <v>8399.7844473504447</v>
      </c>
      <c r="Q253" s="19">
        <f>$B253*'Teva Payments'!O$26</f>
        <v>8399.8598892453247</v>
      </c>
      <c r="R253" s="39" t="s">
        <v>346</v>
      </c>
      <c r="S253" s="7">
        <f t="shared" si="13"/>
        <v>107623.47225117424</v>
      </c>
    </row>
    <row r="254" spans="1:19" x14ac:dyDescent="0.35">
      <c r="A254" s="3" t="s">
        <v>83</v>
      </c>
      <c r="B254" s="16">
        <v>3.1110081270188996E-5</v>
      </c>
      <c r="C254" s="8" t="s">
        <v>276</v>
      </c>
      <c r="D254" s="33" t="str">
        <f t="shared" si="14"/>
        <v>Yes</v>
      </c>
      <c r="E254" s="19">
        <f>B254*'Teva Payments'!$Q$26</f>
        <v>1497.9793395210934</v>
      </c>
      <c r="F254" s="19">
        <v>0</v>
      </c>
      <c r="G254" s="52">
        <f>$B254*'Teva Payments'!E$26</f>
        <v>116.16072471832098</v>
      </c>
      <c r="H254" s="52">
        <f>$B254*'Teva Payments'!F$26</f>
        <v>116.16072471832099</v>
      </c>
      <c r="I254" s="52">
        <f>$B254*'Teva Payments'!G$26</f>
        <v>116.16072471832099</v>
      </c>
      <c r="J254" s="52">
        <f>$B254*'Teva Payments'!H$26</f>
        <v>116.16072471832099</v>
      </c>
      <c r="K254" s="52">
        <f>$B254*'Teva Payments'!I$26</f>
        <v>116.16072471319427</v>
      </c>
      <c r="L254" s="52">
        <f>$B254*'Teva Payments'!J$26</f>
        <v>116.16072471319427</v>
      </c>
      <c r="M254" s="52">
        <f>$B254*'Teva Payments'!K$26</f>
        <v>116.16072471319427</v>
      </c>
      <c r="N254" s="52">
        <f>$B254*'Teva Payments'!L$26</f>
        <v>116.16072471319427</v>
      </c>
      <c r="O254" s="52">
        <f>$B254*'Teva Payments'!M$26</f>
        <v>116.16072471319427</v>
      </c>
      <c r="P254" s="52">
        <f>$B254*'Teva Payments'!N$26</f>
        <v>116.16072471319427</v>
      </c>
      <c r="Q254" s="52">
        <f>$B254*'Teva Payments'!O$26</f>
        <v>116.16176800010693</v>
      </c>
      <c r="R254" s="39" t="s">
        <v>346</v>
      </c>
      <c r="S254" s="7">
        <f t="shared" ref="S254:S255" si="16">E254</f>
        <v>1497.9793395210934</v>
      </c>
    </row>
    <row r="255" spans="1:19" x14ac:dyDescent="0.35">
      <c r="A255" s="3" t="s">
        <v>254</v>
      </c>
      <c r="B255" s="16">
        <v>7.5956312712067208E-5</v>
      </c>
      <c r="C255" s="8" t="s">
        <v>277</v>
      </c>
      <c r="D255" s="33" t="str">
        <f t="shared" si="14"/>
        <v>Yes</v>
      </c>
      <c r="E255" s="19">
        <f>B255*'Teva Payments'!$Q$26</f>
        <v>3657.3670817732595</v>
      </c>
      <c r="F255" s="19">
        <v>0</v>
      </c>
      <c r="G255" s="52">
        <f>$B255*'Teva Payments'!E$26</f>
        <v>283.61032730634014</v>
      </c>
      <c r="H255" s="52">
        <f>$B255*'Teva Payments'!F$26</f>
        <v>283.6103273063402</v>
      </c>
      <c r="I255" s="52">
        <f>$B255*'Teva Payments'!G$26</f>
        <v>283.6103273063402</v>
      </c>
      <c r="J255" s="52">
        <f>$B255*'Teva Payments'!H$26</f>
        <v>283.6103273063402</v>
      </c>
      <c r="K255" s="52">
        <f>$B255*'Teva Payments'!I$26</f>
        <v>283.6103272938231</v>
      </c>
      <c r="L255" s="52">
        <f>$B255*'Teva Payments'!J$26</f>
        <v>283.6103272938231</v>
      </c>
      <c r="M255" s="52">
        <f>$B255*'Teva Payments'!K$26</f>
        <v>283.6103272938231</v>
      </c>
      <c r="N255" s="52">
        <f>$B255*'Teva Payments'!L$26</f>
        <v>283.6103272938231</v>
      </c>
      <c r="O255" s="52">
        <f>$B255*'Teva Payments'!M$26</f>
        <v>283.6103272938231</v>
      </c>
      <c r="P255" s="52">
        <f>$B255*'Teva Payments'!N$26</f>
        <v>283.6103272938231</v>
      </c>
      <c r="Q255" s="52">
        <f>$B255*'Teva Payments'!O$26</f>
        <v>283.61287451400869</v>
      </c>
      <c r="R255" s="39" t="s">
        <v>346</v>
      </c>
      <c r="S255" s="7">
        <f t="shared" si="16"/>
        <v>3657.3670817732595</v>
      </c>
    </row>
    <row r="256" spans="1:19" x14ac:dyDescent="0.35">
      <c r="A256" s="3" t="s">
        <v>278</v>
      </c>
      <c r="B256" s="16">
        <v>6.9474875120000001E-4</v>
      </c>
      <c r="C256" s="8" t="s">
        <v>279</v>
      </c>
      <c r="D256" s="33" t="str">
        <f t="shared" si="14"/>
        <v>No</v>
      </c>
      <c r="E256" s="19">
        <f>$B256*'Teva Payments'!C$26</f>
        <v>2323.6303625190817</v>
      </c>
      <c r="F256" s="19">
        <v>2378.5300000000002</v>
      </c>
      <c r="G256" s="19">
        <f>$B256*'Teva Payments'!E$26</f>
        <v>2594.0953909970353</v>
      </c>
      <c r="H256" s="19">
        <f>$B256*'Teva Payments'!F$26</f>
        <v>2594.0953909970358</v>
      </c>
      <c r="I256" s="19">
        <f>$B256*'Teva Payments'!G$26</f>
        <v>2594.0953909970358</v>
      </c>
      <c r="J256" s="19">
        <f>$B256*'Teva Payments'!H$26</f>
        <v>2594.0953909970358</v>
      </c>
      <c r="K256" s="19">
        <f>$B256*'Teva Payments'!I$26</f>
        <v>2594.0953908825459</v>
      </c>
      <c r="L256" s="19">
        <f>$B256*'Teva Payments'!J$26</f>
        <v>2594.0953908825459</v>
      </c>
      <c r="M256" s="19">
        <f>$B256*'Teva Payments'!K$26</f>
        <v>2594.0953908825459</v>
      </c>
      <c r="N256" s="19">
        <f>$B256*'Teva Payments'!L$26</f>
        <v>2594.0953908825459</v>
      </c>
      <c r="O256" s="19">
        <f>$B256*'Teva Payments'!M$26</f>
        <v>2594.0953908825459</v>
      </c>
      <c r="P256" s="19">
        <f>$B256*'Teva Payments'!N$26</f>
        <v>2594.0953908825459</v>
      </c>
      <c r="Q256" s="19">
        <f>$B256*'Teva Payments'!O$26</f>
        <v>2594.1186895127689</v>
      </c>
      <c r="R256" s="39" t="s">
        <v>346</v>
      </c>
      <c r="S256" s="7">
        <f t="shared" si="13"/>
        <v>33237.232961315276</v>
      </c>
    </row>
    <row r="257" spans="1:19" x14ac:dyDescent="0.35">
      <c r="A257" s="3" t="s">
        <v>22</v>
      </c>
      <c r="B257" s="16">
        <v>2.8792492159318973E-4</v>
      </c>
      <c r="C257" s="8" t="s">
        <v>280</v>
      </c>
      <c r="D257" s="33" t="str">
        <f t="shared" si="14"/>
        <v>No</v>
      </c>
      <c r="E257" s="19">
        <f>$B257*'Teva Payments'!C$26</f>
        <v>962.98278879131817</v>
      </c>
      <c r="F257" s="19">
        <v>985.73</v>
      </c>
      <c r="G257" s="19">
        <f>$B257*'Teva Payments'!E$26</f>
        <v>1075.0716870926219</v>
      </c>
      <c r="H257" s="19">
        <f>$B257*'Teva Payments'!F$26</f>
        <v>1075.0716870926221</v>
      </c>
      <c r="I257" s="19">
        <f>$B257*'Teva Payments'!G$26</f>
        <v>1075.0716870926221</v>
      </c>
      <c r="J257" s="19">
        <f>$B257*'Teva Payments'!H$26</f>
        <v>1075.0716870926221</v>
      </c>
      <c r="K257" s="19">
        <f>$B257*'Teva Payments'!I$26</f>
        <v>1075.071687045174</v>
      </c>
      <c r="L257" s="19">
        <f>$B257*'Teva Payments'!J$26</f>
        <v>1075.071687045174</v>
      </c>
      <c r="M257" s="19">
        <f>$B257*'Teva Payments'!K$26</f>
        <v>1075.071687045174</v>
      </c>
      <c r="N257" s="19">
        <f>$B257*'Teva Payments'!L$26</f>
        <v>1075.071687045174</v>
      </c>
      <c r="O257" s="19">
        <f>$B257*'Teva Payments'!M$26</f>
        <v>1075.071687045174</v>
      </c>
      <c r="P257" s="19">
        <f>$B257*'Teva Payments'!N$26</f>
        <v>1075.071687045174</v>
      </c>
      <c r="Q257" s="19">
        <f>$B257*'Teva Payments'!O$26</f>
        <v>1075.0813427030914</v>
      </c>
      <c r="R257" s="39" t="s">
        <v>346</v>
      </c>
      <c r="S257" s="7">
        <f t="shared" si="13"/>
        <v>13774.511002135945</v>
      </c>
    </row>
    <row r="258" spans="1:19" x14ac:dyDescent="0.35">
      <c r="A258" s="3" t="s">
        <v>34</v>
      </c>
      <c r="B258" s="16">
        <v>1.4103252340808051E-3</v>
      </c>
      <c r="C258" s="8" t="s">
        <v>281</v>
      </c>
      <c r="D258" s="33" t="str">
        <f t="shared" si="14"/>
        <v>No</v>
      </c>
      <c r="E258" s="19">
        <f>$B258*'Teva Payments'!C$26</f>
        <v>4716.9203676533216</v>
      </c>
      <c r="F258" s="19">
        <v>4828.3599999999997</v>
      </c>
      <c r="G258" s="19">
        <f>$B258*'Teva Payments'!E$26</f>
        <v>5265.9586407556417</v>
      </c>
      <c r="H258" s="19">
        <f>$B258*'Teva Payments'!F$26</f>
        <v>5265.9586407556426</v>
      </c>
      <c r="I258" s="19">
        <f>$B258*'Teva Payments'!G$26</f>
        <v>5265.9586407556426</v>
      </c>
      <c r="J258" s="19">
        <f>$B258*'Teva Payments'!H$26</f>
        <v>5265.9586407556426</v>
      </c>
      <c r="K258" s="19">
        <f>$B258*'Teva Payments'!I$26</f>
        <v>5265.9586405232312</v>
      </c>
      <c r="L258" s="19">
        <f>$B258*'Teva Payments'!J$26</f>
        <v>5265.9586405232312</v>
      </c>
      <c r="M258" s="19">
        <f>$B258*'Teva Payments'!K$26</f>
        <v>5265.9586405232312</v>
      </c>
      <c r="N258" s="19">
        <f>$B258*'Teva Payments'!L$26</f>
        <v>5265.9586405232312</v>
      </c>
      <c r="O258" s="19">
        <f>$B258*'Teva Payments'!M$26</f>
        <v>5265.9586405232312</v>
      </c>
      <c r="P258" s="19">
        <f>$B258*'Teva Payments'!N$26</f>
        <v>5265.9586405232312</v>
      </c>
      <c r="Q258" s="19">
        <f>$B258*'Teva Payments'!O$26</f>
        <v>5266.005936248579</v>
      </c>
      <c r="R258" s="39" t="s">
        <v>346</v>
      </c>
      <c r="S258" s="7">
        <f t="shared" si="13"/>
        <v>67470.872710063864</v>
      </c>
    </row>
    <row r="259" spans="1:19" x14ac:dyDescent="0.35">
      <c r="A259" s="3" t="s">
        <v>282</v>
      </c>
      <c r="B259" s="16">
        <v>4.9641098763200005E-3</v>
      </c>
      <c r="C259" s="8" t="s">
        <v>282</v>
      </c>
      <c r="D259" s="33" t="str">
        <f t="shared" si="14"/>
        <v>No</v>
      </c>
      <c r="E259" s="19">
        <f>$B259*'Teva Payments'!C$26</f>
        <v>16602.773897145791</v>
      </c>
      <c r="F259" s="19">
        <v>16995.009999999998</v>
      </c>
      <c r="G259" s="19">
        <f>$B259*'Teva Payments'!E$26</f>
        <v>18535.2971535713</v>
      </c>
      <c r="H259" s="19">
        <f>$B259*'Teva Payments'!F$26</f>
        <v>18535.297153571304</v>
      </c>
      <c r="I259" s="19">
        <f>$B259*'Teva Payments'!G$26</f>
        <v>18535.297153571304</v>
      </c>
      <c r="J259" s="19">
        <f>$B259*'Teva Payments'!H$26</f>
        <v>18535.297153571304</v>
      </c>
      <c r="K259" s="19">
        <f>$B259*'Teva Payments'!I$26</f>
        <v>18535.297152753254</v>
      </c>
      <c r="L259" s="19">
        <f>$B259*'Teva Payments'!J$26</f>
        <v>18535.297152753254</v>
      </c>
      <c r="M259" s="19">
        <f>$B259*'Teva Payments'!K$26</f>
        <v>18535.297152753254</v>
      </c>
      <c r="N259" s="19">
        <f>$B259*'Teva Payments'!L$26</f>
        <v>18535.297152753254</v>
      </c>
      <c r="O259" s="19">
        <f>$B259*'Teva Payments'!M$26</f>
        <v>18535.297152753254</v>
      </c>
      <c r="P259" s="19">
        <f>$B259*'Teva Payments'!N$26</f>
        <v>18535.297152753254</v>
      </c>
      <c r="Q259" s="19">
        <f>$B259*'Teva Payments'!O$26</f>
        <v>18535.463625827433</v>
      </c>
      <c r="R259" s="39" t="s">
        <v>346</v>
      </c>
      <c r="S259" s="7">
        <f t="shared" si="13"/>
        <v>237486.21905377792</v>
      </c>
    </row>
    <row r="260" spans="1:19" x14ac:dyDescent="0.35">
      <c r="A260" s="3" t="s">
        <v>60</v>
      </c>
      <c r="B260" s="16">
        <v>5.757676198157949E-5</v>
      </c>
      <c r="C260" s="8" t="s">
        <v>283</v>
      </c>
      <c r="D260" s="33" t="str">
        <f t="shared" si="14"/>
        <v>Yes</v>
      </c>
      <c r="E260" s="19">
        <f>B260*'Teva Payments'!$Q$26</f>
        <v>2772.3746246711648</v>
      </c>
      <c r="F260" s="19">
        <v>0</v>
      </c>
      <c r="G260" s="52">
        <f>$B260*'Teva Payments'!E$26</f>
        <v>214.98363635338433</v>
      </c>
      <c r="H260" s="52">
        <f>$B260*'Teva Payments'!F$26</f>
        <v>214.98363635338436</v>
      </c>
      <c r="I260" s="52">
        <f>$B260*'Teva Payments'!G$26</f>
        <v>214.98363635338436</v>
      </c>
      <c r="J260" s="52">
        <f>$B260*'Teva Payments'!H$26</f>
        <v>214.98363635338436</v>
      </c>
      <c r="K260" s="52">
        <f>$B260*'Teva Payments'!I$26</f>
        <v>214.98363634389611</v>
      </c>
      <c r="L260" s="52">
        <f>$B260*'Teva Payments'!J$26</f>
        <v>214.98363634389611</v>
      </c>
      <c r="M260" s="52">
        <f>$B260*'Teva Payments'!K$26</f>
        <v>214.98363634389611</v>
      </c>
      <c r="N260" s="52">
        <f>$B260*'Teva Payments'!L$26</f>
        <v>214.98363634389611</v>
      </c>
      <c r="O260" s="52">
        <f>$B260*'Teva Payments'!M$26</f>
        <v>214.98363634389611</v>
      </c>
      <c r="P260" s="52">
        <f>$B260*'Teva Payments'!N$26</f>
        <v>214.98363634389611</v>
      </c>
      <c r="Q260" s="52">
        <f>$B260*'Teva Payments'!O$26</f>
        <v>214.98556719974079</v>
      </c>
      <c r="R260" s="39" t="s">
        <v>346</v>
      </c>
      <c r="S260" s="7">
        <f t="shared" ref="S260:S261" si="17">E260</f>
        <v>2772.3746246711648</v>
      </c>
    </row>
    <row r="261" spans="1:19" x14ac:dyDescent="0.35">
      <c r="A261" s="3" t="s">
        <v>168</v>
      </c>
      <c r="B261" s="16">
        <v>3.0609535252973091E-7</v>
      </c>
      <c r="C261" s="8" t="s">
        <v>284</v>
      </c>
      <c r="D261" s="33" t="str">
        <f t="shared" si="14"/>
        <v>Yes</v>
      </c>
      <c r="E261" s="19">
        <f>B261*'Teva Payments'!$Q$26</f>
        <v>14.738775833811154</v>
      </c>
      <c r="F261" s="19">
        <v>0</v>
      </c>
      <c r="G261" s="52">
        <f>$B261*'Teva Payments'!E$26</f>
        <v>1.1429175537652807</v>
      </c>
      <c r="H261" s="52">
        <f>$B261*'Teva Payments'!F$26</f>
        <v>1.1429175537652809</v>
      </c>
      <c r="I261" s="52">
        <f>$B261*'Teva Payments'!G$26</f>
        <v>1.1429175537652809</v>
      </c>
      <c r="J261" s="52">
        <f>$B261*'Teva Payments'!H$26</f>
        <v>1.1429175537652809</v>
      </c>
      <c r="K261" s="52">
        <f>$B261*'Teva Payments'!I$26</f>
        <v>1.1429175537148386</v>
      </c>
      <c r="L261" s="52">
        <f>$B261*'Teva Payments'!J$26</f>
        <v>1.1429175537148386</v>
      </c>
      <c r="M261" s="52">
        <f>$B261*'Teva Payments'!K$26</f>
        <v>1.1429175537148386</v>
      </c>
      <c r="N261" s="52">
        <f>$B261*'Teva Payments'!L$26</f>
        <v>1.1429175537148386</v>
      </c>
      <c r="O261" s="52">
        <f>$B261*'Teva Payments'!M$26</f>
        <v>1.1429175537148386</v>
      </c>
      <c r="P261" s="52">
        <f>$B261*'Teva Payments'!N$26</f>
        <v>1.1429175537148386</v>
      </c>
      <c r="Q261" s="52">
        <f>$B261*'Teva Payments'!O$26</f>
        <v>1.1429278187241951</v>
      </c>
      <c r="R261" s="39" t="s">
        <v>346</v>
      </c>
      <c r="S261" s="7">
        <f t="shared" si="17"/>
        <v>14.738775833811154</v>
      </c>
    </row>
    <row r="262" spans="1:19" x14ac:dyDescent="0.35">
      <c r="A262" s="3" t="s">
        <v>22</v>
      </c>
      <c r="B262" s="16">
        <v>7.6929149136000007E-4</v>
      </c>
      <c r="C262" s="8" t="s">
        <v>285</v>
      </c>
      <c r="D262" s="33" t="str">
        <f t="shared" si="14"/>
        <v>No</v>
      </c>
      <c r="E262" s="19">
        <f>$B262*'Teva Payments'!C$26</f>
        <v>2572.9431882592812</v>
      </c>
      <c r="F262" s="19">
        <v>2633.73</v>
      </c>
      <c r="G262" s="19">
        <f>$B262*'Teva Payments'!E$26</f>
        <v>2872.4276346280562</v>
      </c>
      <c r="H262" s="19">
        <f>$B262*'Teva Payments'!F$26</f>
        <v>2872.4276346280562</v>
      </c>
      <c r="I262" s="19">
        <f>$B262*'Teva Payments'!G$26</f>
        <v>2872.4276346280562</v>
      </c>
      <c r="J262" s="19">
        <f>$B262*'Teva Payments'!H$26</f>
        <v>2872.4276346280562</v>
      </c>
      <c r="K262" s="19">
        <f>$B262*'Teva Payments'!I$26</f>
        <v>2872.4276345012827</v>
      </c>
      <c r="L262" s="19">
        <f>$B262*'Teva Payments'!J$26</f>
        <v>2872.4276345012827</v>
      </c>
      <c r="M262" s="19">
        <f>$B262*'Teva Payments'!K$26</f>
        <v>2872.4276345012827</v>
      </c>
      <c r="N262" s="19">
        <f>$B262*'Teva Payments'!L$26</f>
        <v>2872.4276345012827</v>
      </c>
      <c r="O262" s="19">
        <f>$B262*'Teva Payments'!M$26</f>
        <v>2872.4276345012827</v>
      </c>
      <c r="P262" s="19">
        <f>$B262*'Teva Payments'!N$26</f>
        <v>2872.4276345012827</v>
      </c>
      <c r="Q262" s="19">
        <f>$B262*'Teva Payments'!O$26</f>
        <v>2872.4534329470657</v>
      </c>
      <c r="R262" s="39" t="s">
        <v>346</v>
      </c>
      <c r="S262" s="7">
        <f t="shared" ref="S262:S281" si="18">SUM(E262:R262)</f>
        <v>36803.402966726273</v>
      </c>
    </row>
    <row r="263" spans="1:19" x14ac:dyDescent="0.35">
      <c r="A263" s="3" t="s">
        <v>31</v>
      </c>
      <c r="B263" s="16">
        <v>4.5586529889378655E-3</v>
      </c>
      <c r="C263" s="8" t="s">
        <v>31</v>
      </c>
      <c r="D263" s="33" t="str">
        <f t="shared" si="14"/>
        <v>No</v>
      </c>
      <c r="E263" s="19">
        <f>$B263*'Teva Payments'!C$26</f>
        <v>15246.698146615377</v>
      </c>
      <c r="F263" s="19">
        <v>15606.89</v>
      </c>
      <c r="G263" s="19">
        <f>$B263*'Teva Payments'!E$26</f>
        <v>17021.377422173013</v>
      </c>
      <c r="H263" s="19">
        <f>$B263*'Teva Payments'!F$26</f>
        <v>17021.377422173016</v>
      </c>
      <c r="I263" s="19">
        <f>$B263*'Teva Payments'!G$26</f>
        <v>17021.377422173016</v>
      </c>
      <c r="J263" s="19">
        <f>$B263*'Teva Payments'!H$26</f>
        <v>17021.377422173016</v>
      </c>
      <c r="K263" s="19">
        <f>$B263*'Teva Payments'!I$26</f>
        <v>17021.377421421781</v>
      </c>
      <c r="L263" s="19">
        <f>$B263*'Teva Payments'!J$26</f>
        <v>17021.377421421781</v>
      </c>
      <c r="M263" s="19">
        <f>$B263*'Teva Payments'!K$26</f>
        <v>17021.377421421781</v>
      </c>
      <c r="N263" s="19">
        <f>$B263*'Teva Payments'!L$26</f>
        <v>17021.377421421781</v>
      </c>
      <c r="O263" s="19">
        <f>$B263*'Teva Payments'!M$26</f>
        <v>17021.377421421781</v>
      </c>
      <c r="P263" s="19">
        <f>$B263*'Teva Payments'!N$26</f>
        <v>17021.377421421781</v>
      </c>
      <c r="Q263" s="19">
        <f>$B263*'Teva Payments'!O$26</f>
        <v>17021.530297364516</v>
      </c>
      <c r="R263" s="39" t="s">
        <v>346</v>
      </c>
      <c r="S263" s="7">
        <f t="shared" si="18"/>
        <v>218088.89266120264</v>
      </c>
    </row>
    <row r="264" spans="1:19" x14ac:dyDescent="0.35">
      <c r="A264" s="3" t="s">
        <v>63</v>
      </c>
      <c r="B264" s="16">
        <v>5.1656580704585642E-5</v>
      </c>
      <c r="C264" s="8" t="s">
        <v>286</v>
      </c>
      <c r="D264" s="8" t="s">
        <v>337</v>
      </c>
      <c r="E264" s="19">
        <v>0</v>
      </c>
      <c r="F264" s="19">
        <v>0</v>
      </c>
      <c r="G264" s="19">
        <v>0</v>
      </c>
      <c r="H264" s="19">
        <v>0</v>
      </c>
      <c r="I264" s="19">
        <v>0</v>
      </c>
      <c r="J264" s="19">
        <v>0</v>
      </c>
      <c r="K264" s="19">
        <v>0</v>
      </c>
      <c r="L264" s="19">
        <v>0</v>
      </c>
      <c r="M264" s="19">
        <v>0</v>
      </c>
      <c r="N264" s="19">
        <v>0</v>
      </c>
      <c r="O264" s="19">
        <v>0</v>
      </c>
      <c r="P264" s="19">
        <v>0</v>
      </c>
      <c r="Q264" s="19">
        <v>0</v>
      </c>
      <c r="R264" s="39" t="s">
        <v>346</v>
      </c>
      <c r="S264" s="7">
        <f t="shared" si="18"/>
        <v>0</v>
      </c>
    </row>
    <row r="265" spans="1:19" x14ac:dyDescent="0.35">
      <c r="A265" s="3" t="s">
        <v>14</v>
      </c>
      <c r="B265" s="16">
        <v>3.4487897129946177E-4</v>
      </c>
      <c r="C265" s="8" t="s">
        <v>287</v>
      </c>
      <c r="D265" s="33" t="str">
        <f t="shared" ref="D265:D282" si="19">IF(B265&lt;0.000083,"Yes","No")</f>
        <v>No</v>
      </c>
      <c r="E265" s="19">
        <f>$B265*'Teva Payments'!C$26</f>
        <v>1153.4691465391097</v>
      </c>
      <c r="F265" s="19">
        <v>1180.72</v>
      </c>
      <c r="G265" s="19">
        <f>$B265*'Teva Payments'!E$26</f>
        <v>1287.7302022557888</v>
      </c>
      <c r="H265" s="19">
        <f>$B265*'Teva Payments'!F$26</f>
        <v>1287.7302022557888</v>
      </c>
      <c r="I265" s="19">
        <f>$B265*'Teva Payments'!G$26</f>
        <v>1287.7302022557888</v>
      </c>
      <c r="J265" s="19">
        <f>$B265*'Teva Payments'!H$26</f>
        <v>1287.7302022557888</v>
      </c>
      <c r="K265" s="19">
        <f>$B265*'Teva Payments'!I$26</f>
        <v>1287.7302021989553</v>
      </c>
      <c r="L265" s="19">
        <f>$B265*'Teva Payments'!J$26</f>
        <v>1287.7302021989553</v>
      </c>
      <c r="M265" s="19">
        <f>$B265*'Teva Payments'!K$26</f>
        <v>1287.7302021989553</v>
      </c>
      <c r="N265" s="19">
        <f>$B265*'Teva Payments'!L$26</f>
        <v>1287.7302021989553</v>
      </c>
      <c r="O265" s="19">
        <f>$B265*'Teva Payments'!M$26</f>
        <v>1287.7302021989553</v>
      </c>
      <c r="P265" s="19">
        <f>$B265*'Teva Payments'!N$26</f>
        <v>1287.7302021989553</v>
      </c>
      <c r="Q265" s="19">
        <f>$B265*'Teva Payments'!O$26</f>
        <v>1287.7417678298543</v>
      </c>
      <c r="R265" s="39" t="s">
        <v>346</v>
      </c>
      <c r="S265" s="7">
        <f t="shared" si="18"/>
        <v>16499.232936585857</v>
      </c>
    </row>
    <row r="266" spans="1:19" x14ac:dyDescent="0.35">
      <c r="A266" s="3" t="s">
        <v>75</v>
      </c>
      <c r="B266" s="16">
        <v>1.3154129039520002E-2</v>
      </c>
      <c r="C266" s="8" t="s">
        <v>288</v>
      </c>
      <c r="D266" s="33" t="str">
        <f t="shared" si="19"/>
        <v>No</v>
      </c>
      <c r="E266" s="19">
        <f>$B266*'Teva Payments'!C$26</f>
        <v>43994.801827176918</v>
      </c>
      <c r="F266" s="19">
        <v>45034.16</v>
      </c>
      <c r="G266" s="19">
        <f>$B266*'Teva Payments'!E$26</f>
        <v>49115.691759157919</v>
      </c>
      <c r="H266" s="19">
        <f>$B266*'Teva Payments'!F$26</f>
        <v>49115.691759157926</v>
      </c>
      <c r="I266" s="19">
        <f>$B266*'Teva Payments'!G$26</f>
        <v>49115.691759157926</v>
      </c>
      <c r="J266" s="19">
        <f>$B266*'Teva Payments'!H$26</f>
        <v>49115.691759157926</v>
      </c>
      <c r="K266" s="19">
        <f>$B266*'Teva Payments'!I$26</f>
        <v>49115.691756990222</v>
      </c>
      <c r="L266" s="19">
        <f>$B266*'Teva Payments'!J$26</f>
        <v>49115.691756990222</v>
      </c>
      <c r="M266" s="19">
        <f>$B266*'Teva Payments'!K$26</f>
        <v>49115.691756990222</v>
      </c>
      <c r="N266" s="19">
        <f>$B266*'Teva Payments'!L$26</f>
        <v>49115.691756990222</v>
      </c>
      <c r="O266" s="19">
        <f>$B266*'Teva Payments'!M$26</f>
        <v>49115.691756990222</v>
      </c>
      <c r="P266" s="19">
        <f>$B266*'Teva Payments'!N$26</f>
        <v>49115.691756990222</v>
      </c>
      <c r="Q266" s="19">
        <f>$B266*'Teva Payments'!O$26</f>
        <v>49116.132885078419</v>
      </c>
      <c r="R266" s="39" t="s">
        <v>346</v>
      </c>
      <c r="S266" s="7">
        <f t="shared" si="18"/>
        <v>629302.0122908284</v>
      </c>
    </row>
    <row r="267" spans="1:19" x14ac:dyDescent="0.35">
      <c r="A267" s="3" t="s">
        <v>75</v>
      </c>
      <c r="B267" s="16">
        <v>4.8332605371401058E-4</v>
      </c>
      <c r="C267" s="8" t="s">
        <v>289</v>
      </c>
      <c r="D267" s="33" t="str">
        <f t="shared" si="19"/>
        <v>No</v>
      </c>
      <c r="E267" s="19">
        <f>$B267*'Teva Payments'!C$26</f>
        <v>1616.5140152703934</v>
      </c>
      <c r="F267" s="19">
        <v>1654.7</v>
      </c>
      <c r="G267" s="19">
        <f>$B267*'Teva Payments'!E$26</f>
        <v>1804.6723885760046</v>
      </c>
      <c r="H267" s="19">
        <f>$B267*'Teva Payments'!F$26</f>
        <v>1804.6723885760048</v>
      </c>
      <c r="I267" s="19">
        <f>$B267*'Teva Payments'!G$26</f>
        <v>1804.6723885760048</v>
      </c>
      <c r="J267" s="19">
        <f>$B267*'Teva Payments'!H$26</f>
        <v>1804.6723885760048</v>
      </c>
      <c r="K267" s="19">
        <f>$B267*'Teva Payments'!I$26</f>
        <v>1804.6723884963562</v>
      </c>
      <c r="L267" s="19">
        <f>$B267*'Teva Payments'!J$26</f>
        <v>1804.6723884963562</v>
      </c>
      <c r="M267" s="19">
        <f>$B267*'Teva Payments'!K$26</f>
        <v>1804.6723884963562</v>
      </c>
      <c r="N267" s="19">
        <f>$B267*'Teva Payments'!L$26</f>
        <v>1804.6723884963562</v>
      </c>
      <c r="O267" s="19">
        <f>$B267*'Teva Payments'!M$26</f>
        <v>1804.6723884963562</v>
      </c>
      <c r="P267" s="19">
        <f>$B267*'Teva Payments'!N$26</f>
        <v>1804.6723884963562</v>
      </c>
      <c r="Q267" s="19">
        <f>$B267*'Teva Payments'!O$26</f>
        <v>1804.6885969961672</v>
      </c>
      <c r="R267" s="39" t="s">
        <v>346</v>
      </c>
      <c r="S267" s="7">
        <f t="shared" si="18"/>
        <v>23122.626497548717</v>
      </c>
    </row>
    <row r="268" spans="1:19" x14ac:dyDescent="0.35">
      <c r="A268" s="3" t="s">
        <v>28</v>
      </c>
      <c r="B268" s="16">
        <v>2.6615292034240005E-2</v>
      </c>
      <c r="C268" s="8" t="s">
        <v>28</v>
      </c>
      <c r="D268" s="33" t="str">
        <f t="shared" si="19"/>
        <v>No</v>
      </c>
      <c r="E268" s="19">
        <f>$B268*'Teva Payments'!C$26</f>
        <v>89016.497793270639</v>
      </c>
      <c r="F268" s="19">
        <v>91119.47</v>
      </c>
      <c r="G268" s="19">
        <f>$B268*'Teva Payments'!E$26</f>
        <v>99377.805684153791</v>
      </c>
      <c r="H268" s="19">
        <f>$B268*'Teva Payments'!F$26</f>
        <v>99377.805684153805</v>
      </c>
      <c r="I268" s="19">
        <f>$B268*'Teva Payments'!G$26</f>
        <v>99377.805684153805</v>
      </c>
      <c r="J268" s="19">
        <f>$B268*'Teva Payments'!H$26</f>
        <v>99377.805684153805</v>
      </c>
      <c r="K268" s="19">
        <f>$B268*'Teva Payments'!I$26</f>
        <v>99377.805679767785</v>
      </c>
      <c r="L268" s="19">
        <f>$B268*'Teva Payments'!J$26</f>
        <v>99377.805679767785</v>
      </c>
      <c r="M268" s="19">
        <f>$B268*'Teva Payments'!K$26</f>
        <v>99377.805679767785</v>
      </c>
      <c r="N268" s="19">
        <f>$B268*'Teva Payments'!L$26</f>
        <v>99377.805679767785</v>
      </c>
      <c r="O268" s="19">
        <f>$B268*'Teva Payments'!M$26</f>
        <v>99377.805679767785</v>
      </c>
      <c r="P268" s="19">
        <f>$B268*'Teva Payments'!N$26</f>
        <v>99377.805679767785</v>
      </c>
      <c r="Q268" s="19">
        <f>$B268*'Teva Payments'!O$26</f>
        <v>99378.698232429888</v>
      </c>
      <c r="R268" s="39" t="s">
        <v>346</v>
      </c>
      <c r="S268" s="7">
        <f t="shared" si="18"/>
        <v>1273292.7228409224</v>
      </c>
    </row>
    <row r="269" spans="1:19" x14ac:dyDescent="0.35">
      <c r="A269" s="3" t="s">
        <v>34</v>
      </c>
      <c r="B269" s="16">
        <v>1.306353444363766E-3</v>
      </c>
      <c r="C269" s="8" t="s">
        <v>290</v>
      </c>
      <c r="D269" s="33" t="str">
        <f t="shared" si="19"/>
        <v>No</v>
      </c>
      <c r="E269" s="19">
        <f>$B269*'Teva Payments'!C$26</f>
        <v>4369.1802572685629</v>
      </c>
      <c r="F269" s="19">
        <v>4472.3999999999996</v>
      </c>
      <c r="G269" s="19">
        <f>$B269*'Teva Payments'!E$26</f>
        <v>4877.7424114600517</v>
      </c>
      <c r="H269" s="19">
        <f>$B269*'Teva Payments'!F$26</f>
        <v>4877.7424114600517</v>
      </c>
      <c r="I269" s="19">
        <f>$B269*'Teva Payments'!G$26</f>
        <v>4877.7424114600517</v>
      </c>
      <c r="J269" s="19">
        <f>$B269*'Teva Payments'!H$26</f>
        <v>4877.7424114600517</v>
      </c>
      <c r="K269" s="19">
        <f>$B269*'Teva Payments'!I$26</f>
        <v>4877.7424112447743</v>
      </c>
      <c r="L269" s="19">
        <f>$B269*'Teva Payments'!J$26</f>
        <v>4877.7424112447743</v>
      </c>
      <c r="M269" s="19">
        <f>$B269*'Teva Payments'!K$26</f>
        <v>4877.7424112447743</v>
      </c>
      <c r="N269" s="19">
        <f>$B269*'Teva Payments'!L$26</f>
        <v>4877.7424112447743</v>
      </c>
      <c r="O269" s="19">
        <f>$B269*'Teva Payments'!M$26</f>
        <v>4877.7424112447743</v>
      </c>
      <c r="P269" s="19">
        <f>$B269*'Teva Payments'!N$26</f>
        <v>4877.7424112447743</v>
      </c>
      <c r="Q269" s="19">
        <f>$B269*'Teva Payments'!O$26</f>
        <v>4877.7862202416063</v>
      </c>
      <c r="R269" s="39" t="s">
        <v>346</v>
      </c>
      <c r="S269" s="7">
        <f t="shared" si="18"/>
        <v>62496.790590819037</v>
      </c>
    </row>
    <row r="270" spans="1:19" x14ac:dyDescent="0.35">
      <c r="A270" s="3" t="s">
        <v>22</v>
      </c>
      <c r="B270" s="16">
        <v>9.3847771248000008E-4</v>
      </c>
      <c r="C270" s="8" t="s">
        <v>291</v>
      </c>
      <c r="D270" s="33" t="str">
        <f t="shared" si="19"/>
        <v>No</v>
      </c>
      <c r="E270" s="19">
        <f>$B270*'Teva Payments'!C$26</f>
        <v>3138.7970161866788</v>
      </c>
      <c r="F270" s="19">
        <v>3212.95</v>
      </c>
      <c r="G270" s="19">
        <f>$B270*'Teva Payments'!E$26</f>
        <v>3504.1454976246227</v>
      </c>
      <c r="H270" s="19">
        <f>$B270*'Teva Payments'!F$26</f>
        <v>3504.1454976246232</v>
      </c>
      <c r="I270" s="19">
        <f>$B270*'Teva Payments'!G$26</f>
        <v>3504.1454976246232</v>
      </c>
      <c r="J270" s="19">
        <f>$B270*'Teva Payments'!H$26</f>
        <v>3504.1454976246232</v>
      </c>
      <c r="K270" s="19">
        <f>$B270*'Teva Payments'!I$26</f>
        <v>3504.1454974699686</v>
      </c>
      <c r="L270" s="19">
        <f>$B270*'Teva Payments'!J$26</f>
        <v>3504.1454974699686</v>
      </c>
      <c r="M270" s="19">
        <f>$B270*'Teva Payments'!K$26</f>
        <v>3504.1454974699686</v>
      </c>
      <c r="N270" s="19">
        <f>$B270*'Teva Payments'!L$26</f>
        <v>3504.1454974699686</v>
      </c>
      <c r="O270" s="19">
        <f>$B270*'Teva Payments'!M$26</f>
        <v>3504.1454974699686</v>
      </c>
      <c r="P270" s="19">
        <f>$B270*'Teva Payments'!N$26</f>
        <v>3504.1454974699686</v>
      </c>
      <c r="Q270" s="19">
        <f>$B270*'Teva Payments'!O$26</f>
        <v>3504.1769696318943</v>
      </c>
      <c r="R270" s="39" t="s">
        <v>346</v>
      </c>
      <c r="S270" s="7">
        <f t="shared" si="18"/>
        <v>44897.378961136877</v>
      </c>
    </row>
    <row r="271" spans="1:19" x14ac:dyDescent="0.35">
      <c r="A271" s="3" t="s">
        <v>22</v>
      </c>
      <c r="B271" s="16">
        <v>0.11408752734624</v>
      </c>
      <c r="C271" s="8" t="s">
        <v>22</v>
      </c>
      <c r="D271" s="33" t="str">
        <f t="shared" si="19"/>
        <v>No</v>
      </c>
      <c r="E271" s="19">
        <f>$B271*'Teva Payments'!C$26</f>
        <v>381572.82336752949</v>
      </c>
      <c r="F271" s="19">
        <v>390587.32</v>
      </c>
      <c r="G271" s="19">
        <f>$B271*'Teva Payments'!E$26</f>
        <v>425986.9893223198</v>
      </c>
      <c r="H271" s="19">
        <f>$B271*'Teva Payments'!F$26</f>
        <v>425986.98932231986</v>
      </c>
      <c r="I271" s="19">
        <f>$B271*'Teva Payments'!G$26</f>
        <v>425986.98932231986</v>
      </c>
      <c r="J271" s="19">
        <f>$B271*'Teva Payments'!H$26</f>
        <v>425986.98932231986</v>
      </c>
      <c r="K271" s="19">
        <f>$B271*'Teva Payments'!I$26</f>
        <v>425986.98930351908</v>
      </c>
      <c r="L271" s="19">
        <f>$B271*'Teva Payments'!J$26</f>
        <v>425986.98930351908</v>
      </c>
      <c r="M271" s="19">
        <f>$B271*'Teva Payments'!K$26</f>
        <v>425986.98930351908</v>
      </c>
      <c r="N271" s="19">
        <f>$B271*'Teva Payments'!L$26</f>
        <v>425986.98930351908</v>
      </c>
      <c r="O271" s="19">
        <f>$B271*'Teva Payments'!M$26</f>
        <v>425986.98930351908</v>
      </c>
      <c r="P271" s="19">
        <f>$B271*'Teva Payments'!N$26</f>
        <v>425986.98930351908</v>
      </c>
      <c r="Q271" s="19">
        <f>$B271*'Teva Payments'!O$26</f>
        <v>425990.81526665762</v>
      </c>
      <c r="R271" s="39" t="s">
        <v>346</v>
      </c>
      <c r="S271" s="7">
        <f t="shared" si="18"/>
        <v>5458020.851744581</v>
      </c>
    </row>
    <row r="272" spans="1:19" x14ac:dyDescent="0.35">
      <c r="A272" s="3" t="s">
        <v>34</v>
      </c>
      <c r="B272" s="16">
        <v>1.5671696722706324E-3</v>
      </c>
      <c r="C272" s="8" t="s">
        <v>292</v>
      </c>
      <c r="D272" s="33" t="str">
        <f t="shared" si="19"/>
        <v>No</v>
      </c>
      <c r="E272" s="19">
        <f>$B272*'Teva Payments'!C$26</f>
        <v>5241.4963357866054</v>
      </c>
      <c r="F272" s="19">
        <v>5365.32</v>
      </c>
      <c r="G272" s="19">
        <f>$B272*'Teva Payments'!E$26</f>
        <v>5851.5939995943409</v>
      </c>
      <c r="H272" s="19">
        <f>$B272*'Teva Payments'!F$26</f>
        <v>5851.5939995943418</v>
      </c>
      <c r="I272" s="19">
        <f>$B272*'Teva Payments'!G$26</f>
        <v>5851.5939995943418</v>
      </c>
      <c r="J272" s="19">
        <f>$B272*'Teva Payments'!H$26</f>
        <v>5851.5939995943418</v>
      </c>
      <c r="K272" s="19">
        <f>$B272*'Teva Payments'!I$26</f>
        <v>5851.5939993360835</v>
      </c>
      <c r="L272" s="19">
        <f>$B272*'Teva Payments'!J$26</f>
        <v>5851.5939993360835</v>
      </c>
      <c r="M272" s="19">
        <f>$B272*'Teva Payments'!K$26</f>
        <v>5851.5939993360835</v>
      </c>
      <c r="N272" s="19">
        <f>$B272*'Teva Payments'!L$26</f>
        <v>5851.5939993360835</v>
      </c>
      <c r="O272" s="19">
        <f>$B272*'Teva Payments'!M$26</f>
        <v>5851.5939993360835</v>
      </c>
      <c r="P272" s="19">
        <f>$B272*'Teva Payments'!N$26</f>
        <v>5851.5939993360835</v>
      </c>
      <c r="Q272" s="19">
        <f>$B272*'Teva Payments'!O$26</f>
        <v>5851.6465548917822</v>
      </c>
      <c r="R272" s="39" t="s">
        <v>346</v>
      </c>
      <c r="S272" s="7">
        <f t="shared" si="18"/>
        <v>74974.402885072239</v>
      </c>
    </row>
    <row r="273" spans="1:19" x14ac:dyDescent="0.35">
      <c r="A273" s="3" t="s">
        <v>22</v>
      </c>
      <c r="B273" s="16">
        <v>3.6531164913600001E-3</v>
      </c>
      <c r="C273" s="8" t="s">
        <v>293</v>
      </c>
      <c r="D273" s="33" t="str">
        <f t="shared" si="19"/>
        <v>No</v>
      </c>
      <c r="E273" s="19">
        <f>$B273*'Teva Payments'!C$26</f>
        <v>12218.075070277684</v>
      </c>
      <c r="F273" s="19">
        <v>12506.72</v>
      </c>
      <c r="G273" s="19">
        <f>$B273*'Teva Payments'!E$26</f>
        <v>13640.229848047889</v>
      </c>
      <c r="H273" s="19">
        <f>$B273*'Teva Payments'!F$26</f>
        <v>13640.229848047891</v>
      </c>
      <c r="I273" s="19">
        <f>$B273*'Teva Payments'!G$26</f>
        <v>13640.229848047891</v>
      </c>
      <c r="J273" s="19">
        <f>$B273*'Teva Payments'!H$26</f>
        <v>13640.229848047891</v>
      </c>
      <c r="K273" s="19">
        <f>$B273*'Teva Payments'!I$26</f>
        <v>13640.229847445884</v>
      </c>
      <c r="L273" s="19">
        <f>$B273*'Teva Payments'!J$26</f>
        <v>13640.229847445884</v>
      </c>
      <c r="M273" s="19">
        <f>$B273*'Teva Payments'!K$26</f>
        <v>13640.229847445884</v>
      </c>
      <c r="N273" s="19">
        <f>$B273*'Teva Payments'!L$26</f>
        <v>13640.229847445884</v>
      </c>
      <c r="O273" s="19">
        <f>$B273*'Teva Payments'!M$26</f>
        <v>13640.229847445884</v>
      </c>
      <c r="P273" s="19">
        <f>$B273*'Teva Payments'!N$26</f>
        <v>13640.229847445884</v>
      </c>
      <c r="Q273" s="19">
        <f>$B273*'Teva Payments'!O$26</f>
        <v>13640.352355921281</v>
      </c>
      <c r="R273" s="39" t="s">
        <v>346</v>
      </c>
      <c r="S273" s="7">
        <f t="shared" si="18"/>
        <v>174767.44590306582</v>
      </c>
    </row>
    <row r="274" spans="1:19" x14ac:dyDescent="0.35">
      <c r="A274" s="3" t="s">
        <v>66</v>
      </c>
      <c r="B274" s="16">
        <v>3.3453814497600002E-3</v>
      </c>
      <c r="C274" s="8" t="s">
        <v>66</v>
      </c>
      <c r="D274" s="33" t="str">
        <f t="shared" si="19"/>
        <v>No</v>
      </c>
      <c r="E274" s="19">
        <f>$B274*'Teva Payments'!C$26</f>
        <v>11188.836104338205</v>
      </c>
      <c r="F274" s="19">
        <v>11453.17</v>
      </c>
      <c r="G274" s="19">
        <f>$B274*'Teva Payments'!E$26</f>
        <v>12491.189922918133</v>
      </c>
      <c r="H274" s="19">
        <f>$B274*'Teva Payments'!F$26</f>
        <v>12491.189922918134</v>
      </c>
      <c r="I274" s="19">
        <f>$B274*'Teva Payments'!G$26</f>
        <v>12491.189922918134</v>
      </c>
      <c r="J274" s="19">
        <f>$B274*'Teva Payments'!H$26</f>
        <v>12491.189922918134</v>
      </c>
      <c r="K274" s="19">
        <f>$B274*'Teva Payments'!I$26</f>
        <v>12491.189922366839</v>
      </c>
      <c r="L274" s="19">
        <f>$B274*'Teva Payments'!J$26</f>
        <v>12491.189922366839</v>
      </c>
      <c r="M274" s="19">
        <f>$B274*'Teva Payments'!K$26</f>
        <v>12491.189922366839</v>
      </c>
      <c r="N274" s="19">
        <f>$B274*'Teva Payments'!L$26</f>
        <v>12491.189922366839</v>
      </c>
      <c r="O274" s="19">
        <f>$B274*'Teva Payments'!M$26</f>
        <v>12491.189922366839</v>
      </c>
      <c r="P274" s="19">
        <f>$B274*'Teva Payments'!N$26</f>
        <v>12491.189922366839</v>
      </c>
      <c r="Q274" s="19">
        <f>$B274*'Teva Payments'!O$26</f>
        <v>12491.302110845361</v>
      </c>
      <c r="R274" s="39" t="s">
        <v>346</v>
      </c>
      <c r="S274" s="7">
        <f t="shared" si="18"/>
        <v>160045.20744105717</v>
      </c>
    </row>
    <row r="275" spans="1:19" x14ac:dyDescent="0.35">
      <c r="A275" s="3" t="s">
        <v>34</v>
      </c>
      <c r="B275" s="16">
        <v>3.4982406091484461E-4</v>
      </c>
      <c r="C275" s="8" t="s">
        <v>294</v>
      </c>
      <c r="D275" s="33" t="str">
        <f t="shared" si="19"/>
        <v>No</v>
      </c>
      <c r="E275" s="19">
        <f>$B275*'Teva Payments'!C$26</f>
        <v>1170.0083059918391</v>
      </c>
      <c r="F275" s="19">
        <v>1197.6500000000001</v>
      </c>
      <c r="G275" s="19">
        <f>$B275*'Teva Payments'!E$26</f>
        <v>1306.1944803954395</v>
      </c>
      <c r="H275" s="19">
        <f>$B275*'Teva Payments'!F$26</f>
        <v>1306.1944803954398</v>
      </c>
      <c r="I275" s="19">
        <f>$B275*'Teva Payments'!G$26</f>
        <v>1306.1944803954398</v>
      </c>
      <c r="J275" s="19">
        <f>$B275*'Teva Payments'!H$26</f>
        <v>1306.1944803954398</v>
      </c>
      <c r="K275" s="19">
        <f>$B275*'Teva Payments'!I$26</f>
        <v>1306.1944803377912</v>
      </c>
      <c r="L275" s="19">
        <f>$B275*'Teva Payments'!J$26</f>
        <v>1306.1944803377912</v>
      </c>
      <c r="M275" s="19">
        <f>$B275*'Teva Payments'!K$26</f>
        <v>1306.1944803377912</v>
      </c>
      <c r="N275" s="19">
        <f>$B275*'Teva Payments'!L$26</f>
        <v>1306.1944803377912</v>
      </c>
      <c r="O275" s="19">
        <f>$B275*'Teva Payments'!M$26</f>
        <v>1306.1944803377912</v>
      </c>
      <c r="P275" s="19">
        <f>$B275*'Teva Payments'!N$26</f>
        <v>1306.1944803377912</v>
      </c>
      <c r="Q275" s="19">
        <f>$B275*'Teva Payments'!O$26</f>
        <v>1306.2062118039137</v>
      </c>
      <c r="R275" s="39" t="s">
        <v>346</v>
      </c>
      <c r="S275" s="7">
        <f t="shared" si="18"/>
        <v>16735.80932140426</v>
      </c>
    </row>
    <row r="276" spans="1:19" x14ac:dyDescent="0.35">
      <c r="A276" s="3" t="s">
        <v>34</v>
      </c>
      <c r="B276" s="16">
        <v>2.2074607648649763E-4</v>
      </c>
      <c r="C276" s="8" t="s">
        <v>295</v>
      </c>
      <c r="D276" s="33" t="str">
        <f t="shared" si="19"/>
        <v>No</v>
      </c>
      <c r="E276" s="19">
        <f>$B276*'Teva Payments'!C$26</f>
        <v>738.29896756924961</v>
      </c>
      <c r="F276" s="19">
        <v>755.74</v>
      </c>
      <c r="G276" s="19">
        <f>$B276*'Teva Payments'!E$26</f>
        <v>824.23520532454404</v>
      </c>
      <c r="H276" s="19">
        <f>$B276*'Teva Payments'!F$26</f>
        <v>824.23520532454404</v>
      </c>
      <c r="I276" s="19">
        <f>$B276*'Teva Payments'!G$26</f>
        <v>824.23520532454404</v>
      </c>
      <c r="J276" s="19">
        <f>$B276*'Teva Payments'!H$26</f>
        <v>824.23520532454404</v>
      </c>
      <c r="K276" s="19">
        <f>$B276*'Teva Payments'!I$26</f>
        <v>824.23520528816675</v>
      </c>
      <c r="L276" s="19">
        <f>$B276*'Teva Payments'!J$26</f>
        <v>824.23520528816675</v>
      </c>
      <c r="M276" s="19">
        <f>$B276*'Teva Payments'!K$26</f>
        <v>824.23520528816675</v>
      </c>
      <c r="N276" s="19">
        <f>$B276*'Teva Payments'!L$26</f>
        <v>824.23520528816675</v>
      </c>
      <c r="O276" s="19">
        <f>$B276*'Teva Payments'!M$26</f>
        <v>824.23520528816675</v>
      </c>
      <c r="P276" s="19">
        <f>$B276*'Teva Payments'!N$26</f>
        <v>824.23520528816675</v>
      </c>
      <c r="Q276" s="19">
        <f>$B276*'Teva Payments'!O$26</f>
        <v>824.24260808119129</v>
      </c>
      <c r="R276" s="39" t="s">
        <v>346</v>
      </c>
      <c r="S276" s="7">
        <f t="shared" si="18"/>
        <v>10560.633628677619</v>
      </c>
    </row>
    <row r="277" spans="1:19" x14ac:dyDescent="0.35">
      <c r="A277" s="3" t="s">
        <v>22</v>
      </c>
      <c r="B277" s="16">
        <v>3.4175249817315688E-4</v>
      </c>
      <c r="C277" s="8" t="s">
        <v>296</v>
      </c>
      <c r="D277" s="33" t="str">
        <f t="shared" si="19"/>
        <v>No</v>
      </c>
      <c r="E277" s="19">
        <f>$B277*'Teva Payments'!C$26</f>
        <v>1143.0124629231493</v>
      </c>
      <c r="F277" s="19">
        <v>1170.02</v>
      </c>
      <c r="G277" s="19">
        <f>$B277*'Teva Payments'!E$26</f>
        <v>1276.0563856234953</v>
      </c>
      <c r="H277" s="19">
        <f>$B277*'Teva Payments'!F$26</f>
        <v>1276.0563856234955</v>
      </c>
      <c r="I277" s="19">
        <f>$B277*'Teva Payments'!G$26</f>
        <v>1276.0563856234955</v>
      </c>
      <c r="J277" s="19">
        <f>$B277*'Teva Payments'!H$26</f>
        <v>1276.0563856234955</v>
      </c>
      <c r="K277" s="19">
        <f>$B277*'Teva Payments'!I$26</f>
        <v>1276.0563855671771</v>
      </c>
      <c r="L277" s="19">
        <f>$B277*'Teva Payments'!J$26</f>
        <v>1276.0563855671771</v>
      </c>
      <c r="M277" s="19">
        <f>$B277*'Teva Payments'!K$26</f>
        <v>1276.0563855671771</v>
      </c>
      <c r="N277" s="19">
        <f>$B277*'Teva Payments'!L$26</f>
        <v>1276.0563855671771</v>
      </c>
      <c r="O277" s="19">
        <f>$B277*'Teva Payments'!M$26</f>
        <v>1276.0563855671771</v>
      </c>
      <c r="P277" s="19">
        <f>$B277*'Teva Payments'!N$26</f>
        <v>1276.0563855671771</v>
      </c>
      <c r="Q277" s="19">
        <f>$B277*'Teva Payments'!O$26</f>
        <v>1276.0678463507609</v>
      </c>
      <c r="R277" s="39" t="s">
        <v>346</v>
      </c>
      <c r="S277" s="7">
        <f t="shared" si="18"/>
        <v>16349.664165170956</v>
      </c>
    </row>
    <row r="278" spans="1:19" x14ac:dyDescent="0.35">
      <c r="A278" s="3" t="s">
        <v>22</v>
      </c>
      <c r="B278" s="16">
        <v>5.8366538543403043E-4</v>
      </c>
      <c r="C278" s="8" t="s">
        <v>297</v>
      </c>
      <c r="D278" s="33" t="str">
        <f t="shared" si="19"/>
        <v>No</v>
      </c>
      <c r="E278" s="19">
        <f>$B278*'Teva Payments'!C$26</f>
        <v>1952.1051442026912</v>
      </c>
      <c r="F278" s="19">
        <v>1998.22</v>
      </c>
      <c r="G278" s="19">
        <f>$B278*'Teva Payments'!E$26</f>
        <v>2179.3255239735745</v>
      </c>
      <c r="H278" s="19">
        <f>$B278*'Teva Payments'!F$26</f>
        <v>2179.3255239735745</v>
      </c>
      <c r="I278" s="19">
        <f>$B278*'Teva Payments'!G$26</f>
        <v>2179.3255239735745</v>
      </c>
      <c r="J278" s="19">
        <f>$B278*'Teva Payments'!H$26</f>
        <v>2179.3255239735745</v>
      </c>
      <c r="K278" s="19">
        <f>$B278*'Teva Payments'!I$26</f>
        <v>2179.3255238773909</v>
      </c>
      <c r="L278" s="19">
        <f>$B278*'Teva Payments'!J$26</f>
        <v>2179.3255238773909</v>
      </c>
      <c r="M278" s="19">
        <f>$B278*'Teva Payments'!K$26</f>
        <v>2179.3255238773909</v>
      </c>
      <c r="N278" s="19">
        <f>$B278*'Teva Payments'!L$26</f>
        <v>2179.3255238773909</v>
      </c>
      <c r="O278" s="19">
        <f>$B278*'Teva Payments'!M$26</f>
        <v>2179.3255238773909</v>
      </c>
      <c r="P278" s="19">
        <f>$B278*'Teva Payments'!N$26</f>
        <v>2179.3255238773909</v>
      </c>
      <c r="Q278" s="19">
        <f>$B278*'Teva Payments'!O$26</f>
        <v>2179.3450972900318</v>
      </c>
      <c r="R278" s="39" t="s">
        <v>346</v>
      </c>
      <c r="S278" s="7">
        <f t="shared" si="18"/>
        <v>27922.925480651371</v>
      </c>
    </row>
    <row r="279" spans="1:19" x14ac:dyDescent="0.35">
      <c r="A279" s="3" t="s">
        <v>14</v>
      </c>
      <c r="B279" s="16">
        <v>1.526406853995849E-3</v>
      </c>
      <c r="C279" s="8" t="s">
        <v>298</v>
      </c>
      <c r="D279" s="33" t="str">
        <f t="shared" si="19"/>
        <v>No</v>
      </c>
      <c r="E279" s="19">
        <f>$B279*'Teva Payments'!C$26</f>
        <v>5105.1625575084381</v>
      </c>
      <c r="F279" s="19">
        <v>5225.7700000000004</v>
      </c>
      <c r="G279" s="19">
        <f>$B279*'Teva Payments'!E$26</f>
        <v>5699.3912949071828</v>
      </c>
      <c r="H279" s="19">
        <f>$B279*'Teva Payments'!F$26</f>
        <v>5699.3912949071837</v>
      </c>
      <c r="I279" s="19">
        <f>$B279*'Teva Payments'!G$26</f>
        <v>5699.3912949071837</v>
      </c>
      <c r="J279" s="19">
        <f>$B279*'Teva Payments'!H$26</f>
        <v>5699.3912949071837</v>
      </c>
      <c r="K279" s="19">
        <f>$B279*'Teva Payments'!I$26</f>
        <v>5699.3912946556429</v>
      </c>
      <c r="L279" s="19">
        <f>$B279*'Teva Payments'!J$26</f>
        <v>5699.3912946556429</v>
      </c>
      <c r="M279" s="19">
        <f>$B279*'Teva Payments'!K$26</f>
        <v>5699.3912946556429</v>
      </c>
      <c r="N279" s="19">
        <f>$B279*'Teva Payments'!L$26</f>
        <v>5699.3912946556429</v>
      </c>
      <c r="O279" s="19">
        <f>$B279*'Teva Payments'!M$26</f>
        <v>5699.3912946556429</v>
      </c>
      <c r="P279" s="19">
        <f>$B279*'Teva Payments'!N$26</f>
        <v>5699.3912946556429</v>
      </c>
      <c r="Q279" s="19">
        <f>$B279*'Teva Payments'!O$26</f>
        <v>5699.4424832166869</v>
      </c>
      <c r="R279" s="39" t="s">
        <v>346</v>
      </c>
      <c r="S279" s="7">
        <f t="shared" si="18"/>
        <v>73024.287988287717</v>
      </c>
    </row>
    <row r="280" spans="1:19" x14ac:dyDescent="0.35">
      <c r="A280" s="3" t="s">
        <v>28</v>
      </c>
      <c r="B280" s="16">
        <v>3.4585485351294921E-4</v>
      </c>
      <c r="C280" s="8" t="s">
        <v>299</v>
      </c>
      <c r="D280" s="33" t="str">
        <f t="shared" si="19"/>
        <v>No</v>
      </c>
      <c r="E280" s="19">
        <f>$B280*'Teva Payments'!C$26</f>
        <v>1156.7330452328247</v>
      </c>
      <c r="F280" s="19">
        <v>1184.06</v>
      </c>
      <c r="G280" s="19">
        <f>$B280*'Teva Payments'!E$26</f>
        <v>1291.3740109676305</v>
      </c>
      <c r="H280" s="19">
        <f>$B280*'Teva Payments'!F$26</f>
        <v>1291.3740109676305</v>
      </c>
      <c r="I280" s="19">
        <f>$B280*'Teva Payments'!G$26</f>
        <v>1291.3740109676305</v>
      </c>
      <c r="J280" s="19">
        <f>$B280*'Teva Payments'!H$26</f>
        <v>1291.3740109676305</v>
      </c>
      <c r="K280" s="19">
        <f>$B280*'Teva Payments'!I$26</f>
        <v>1291.3740109106361</v>
      </c>
      <c r="L280" s="19">
        <f>$B280*'Teva Payments'!J$26</f>
        <v>1291.3740109106361</v>
      </c>
      <c r="M280" s="19">
        <f>$B280*'Teva Payments'!K$26</f>
        <v>1291.3740109106361</v>
      </c>
      <c r="N280" s="19">
        <f>$B280*'Teva Payments'!L$26</f>
        <v>1291.3740109106361</v>
      </c>
      <c r="O280" s="19">
        <f>$B280*'Teva Payments'!M$26</f>
        <v>1291.3740109106361</v>
      </c>
      <c r="P280" s="19">
        <f>$B280*'Teva Payments'!N$26</f>
        <v>1291.3740109106361</v>
      </c>
      <c r="Q280" s="19">
        <f>$B280*'Teva Payments'!O$26</f>
        <v>1291.3856092680694</v>
      </c>
      <c r="R280" s="39" t="s">
        <v>346</v>
      </c>
      <c r="S280" s="7">
        <f t="shared" si="18"/>
        <v>16545.918763835238</v>
      </c>
    </row>
    <row r="281" spans="1:19" x14ac:dyDescent="0.35">
      <c r="A281" s="3" t="s">
        <v>28</v>
      </c>
      <c r="B281" s="16">
        <v>5.3695276199727988E-4</v>
      </c>
      <c r="C281" s="8" t="s">
        <v>300</v>
      </c>
      <c r="D281" s="33" t="str">
        <f t="shared" si="19"/>
        <v>No</v>
      </c>
      <c r="E281" s="19">
        <f>$B281*'Teva Payments'!C$26</f>
        <v>1795.8718729041477</v>
      </c>
      <c r="F281" s="19">
        <v>1838.3</v>
      </c>
      <c r="G281" s="19">
        <f>$B281*'Teva Payments'!E$26</f>
        <v>2004.9070727718233</v>
      </c>
      <c r="H281" s="19">
        <f>$B281*'Teva Payments'!F$26</f>
        <v>2004.9070727718236</v>
      </c>
      <c r="I281" s="19">
        <f>$B281*'Teva Payments'!G$26</f>
        <v>2004.9070727718236</v>
      </c>
      <c r="J281" s="19">
        <f>$B281*'Teva Payments'!H$26</f>
        <v>2004.9070727718236</v>
      </c>
      <c r="K281" s="19">
        <f>$B281*'Teva Payments'!I$26</f>
        <v>2004.9070726833377</v>
      </c>
      <c r="L281" s="19">
        <f>$B281*'Teva Payments'!J$26</f>
        <v>2004.9070726833377</v>
      </c>
      <c r="M281" s="19">
        <f>$B281*'Teva Payments'!K$26</f>
        <v>2004.9070726833377</v>
      </c>
      <c r="N281" s="19">
        <f>$B281*'Teva Payments'!L$26</f>
        <v>2004.9070726833377</v>
      </c>
      <c r="O281" s="19">
        <f>$B281*'Teva Payments'!M$26</f>
        <v>2004.9070726833377</v>
      </c>
      <c r="P281" s="19">
        <f>$B281*'Teva Payments'!N$26</f>
        <v>2004.9070726833377</v>
      </c>
      <c r="Q281" s="19">
        <f>$B281*'Teva Payments'!O$26</f>
        <v>2004.92507957263</v>
      </c>
      <c r="R281" s="39" t="s">
        <v>346</v>
      </c>
      <c r="S281" s="7">
        <f t="shared" si="18"/>
        <v>25688.1676796641</v>
      </c>
    </row>
    <row r="282" spans="1:19" x14ac:dyDescent="0.35">
      <c r="A282" s="3" t="s">
        <v>24</v>
      </c>
      <c r="B282" s="16">
        <v>3.6753988866981733E-5</v>
      </c>
      <c r="C282" s="8" t="s">
        <v>301</v>
      </c>
      <c r="D282" s="33" t="str">
        <f t="shared" si="19"/>
        <v>Yes</v>
      </c>
      <c r="E282" s="19">
        <f>B282*'Teva Payments'!$Q$26</f>
        <v>1769.7387380496691</v>
      </c>
      <c r="F282" s="19">
        <v>0</v>
      </c>
      <c r="G282" s="52">
        <f>$B282*'Teva Payments'!E$26</f>
        <v>137.23429218967649</v>
      </c>
      <c r="H282" s="52">
        <f>$B282*'Teva Payments'!F$26</f>
        <v>137.23429218967652</v>
      </c>
      <c r="I282" s="52">
        <f>$B282*'Teva Payments'!G$26</f>
        <v>137.23429218967652</v>
      </c>
      <c r="J282" s="52">
        <f>$B282*'Teva Payments'!H$26</f>
        <v>137.23429218967652</v>
      </c>
      <c r="K282" s="52">
        <f>$B282*'Teva Payments'!I$26</f>
        <v>137.23429218361971</v>
      </c>
      <c r="L282" s="52">
        <f>$B282*'Teva Payments'!J$26</f>
        <v>137.23429218361971</v>
      </c>
      <c r="M282" s="52">
        <f>$B282*'Teva Payments'!K$26</f>
        <v>137.23429218361971</v>
      </c>
      <c r="N282" s="52">
        <f>$B282*'Teva Payments'!L$26</f>
        <v>137.23429218361971</v>
      </c>
      <c r="O282" s="52">
        <f>$B282*'Teva Payments'!M$26</f>
        <v>137.23429218361971</v>
      </c>
      <c r="P282" s="52">
        <f>$B282*'Teva Payments'!N$26</f>
        <v>137.23429218361971</v>
      </c>
      <c r="Q282" s="52">
        <f>$B282*'Teva Payments'!O$26</f>
        <v>137.235524740849</v>
      </c>
      <c r="R282" s="39" t="s">
        <v>346</v>
      </c>
      <c r="S282" s="7">
        <f>E282</f>
        <v>1769.7387380496691</v>
      </c>
    </row>
    <row r="283" spans="1:19" x14ac:dyDescent="0.35">
      <c r="A283" s="8" t="s">
        <v>270</v>
      </c>
      <c r="C283" s="8" t="s">
        <v>270</v>
      </c>
      <c r="D283" s="8"/>
      <c r="E283" s="43">
        <f>'Teva Payments'!C17</f>
        <v>4659348.6199999992</v>
      </c>
      <c r="F283" s="19">
        <v>4823618.51</v>
      </c>
      <c r="G283" s="43">
        <f>'Teva Payments'!E17</f>
        <v>4689900.7509621112</v>
      </c>
      <c r="H283" s="43">
        <f>'Teva Payments'!F17</f>
        <v>4689900.7509621121</v>
      </c>
      <c r="I283" s="43">
        <f>'Teva Payments'!G17</f>
        <v>4689900.7509621121</v>
      </c>
      <c r="J283" s="43">
        <f>'Teva Payments'!H17</f>
        <v>4689900.7509621121</v>
      </c>
      <c r="K283" s="43">
        <f>'Teva Payments'!I17</f>
        <v>4689900.7507553454</v>
      </c>
      <c r="L283" s="43">
        <f>'Teva Payments'!J17</f>
        <v>4689900.7507553454</v>
      </c>
      <c r="M283" s="43">
        <f>'Teva Payments'!K17</f>
        <v>4689900.7507553454</v>
      </c>
      <c r="N283" s="43">
        <f>'Teva Payments'!L17</f>
        <v>4689900.7507553454</v>
      </c>
      <c r="O283" s="43">
        <f>'Teva Payments'!M17</f>
        <v>4689900.7507553454</v>
      </c>
      <c r="P283" s="43">
        <f>'Teva Payments'!N17</f>
        <v>4689900.7507553454</v>
      </c>
      <c r="Q283" s="43">
        <f>'Teva Payments'!O17</f>
        <v>4689942.8277092725</v>
      </c>
      <c r="S283" s="7">
        <f>SUM(E283:Q283)</f>
        <v>61071917.4660898</v>
      </c>
    </row>
    <row r="284" spans="1:19" x14ac:dyDescent="0.35">
      <c r="H284"/>
      <c r="I284"/>
      <c r="J284"/>
      <c r="K284"/>
      <c r="L284"/>
      <c r="M284"/>
      <c r="N284"/>
      <c r="O284"/>
      <c r="P284"/>
      <c r="Q284"/>
    </row>
    <row r="285" spans="1:19" x14ac:dyDescent="0.35">
      <c r="B285" s="3" t="s">
        <v>340</v>
      </c>
    </row>
  </sheetData>
  <sheetProtection algorithmName="SHA-512" hashValue="ijqagZz0zLMtFSC5OqxdIqUxLjUUnf+AIFg9biSxRzWVcFH62/yGcNmsT9scmCupSdkXJL+PMmxJyBJJqaGSMg==" saltValue="q3aOqeFFxmsFCFtFfjUzmA==" spinCount="100000" sheet="1" sort="0" autoFilter="0" pivotTables="0"/>
  <autoFilter ref="A3:S283" xr:uid="{A817AFE2-400E-4528-B798-D605BB194E27}"/>
  <mergeCells count="1">
    <mergeCell ref="A1:C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BDCD-EF06-4722-AF23-930671464F5C}">
  <dimension ref="A1:M290"/>
  <sheetViews>
    <sheetView workbookViewId="0"/>
  </sheetViews>
  <sheetFormatPr defaultRowHeight="13.8" x14ac:dyDescent="0.25"/>
  <cols>
    <col min="1" max="1" width="25.44140625" style="95" customWidth="1"/>
    <col min="2" max="2" width="39.109375" style="95" customWidth="1"/>
    <col min="3" max="4" width="27.88671875" style="95" customWidth="1"/>
    <col min="5" max="5" width="20.6640625" style="95" customWidth="1"/>
    <col min="6" max="6" width="22.88671875" style="95" customWidth="1"/>
    <col min="7" max="7" width="20.44140625" style="95" customWidth="1"/>
    <col min="8" max="8" width="20.6640625" style="95" customWidth="1"/>
    <col min="9" max="10" width="16.44140625" style="95" bestFit="1" customWidth="1"/>
    <col min="11" max="16384" width="8.88671875" style="95"/>
  </cols>
  <sheetData>
    <row r="1" spans="1:13" ht="22.8" x14ac:dyDescent="0.4">
      <c r="A1" s="57" t="s">
        <v>480</v>
      </c>
      <c r="B1" s="57"/>
      <c r="D1" s="5"/>
    </row>
    <row r="2" spans="1:13" ht="15" customHeight="1" x14ac:dyDescent="0.4">
      <c r="A2" s="103" t="s">
        <v>481</v>
      </c>
      <c r="B2" s="57"/>
      <c r="C2" s="5"/>
      <c r="D2" s="5"/>
    </row>
    <row r="3" spans="1:13" ht="15" customHeight="1" x14ac:dyDescent="0.4">
      <c r="A3" s="103"/>
      <c r="B3" s="57"/>
      <c r="C3" s="5"/>
      <c r="D3" s="5"/>
    </row>
    <row r="4" spans="1:13" ht="18.75" customHeight="1" x14ac:dyDescent="0.35">
      <c r="A4" s="96"/>
      <c r="B4" s="96"/>
      <c r="C4" s="5">
        <v>2024</v>
      </c>
      <c r="D4" s="5">
        <v>2024</v>
      </c>
      <c r="E4" s="5">
        <v>2025</v>
      </c>
      <c r="F4" s="5">
        <v>2026</v>
      </c>
      <c r="G4" s="5">
        <v>2027</v>
      </c>
      <c r="H4" s="5">
        <v>2028</v>
      </c>
      <c r="I4" s="5">
        <v>2029</v>
      </c>
      <c r="J4" s="5">
        <v>2030</v>
      </c>
      <c r="K4" s="3"/>
    </row>
    <row r="5" spans="1:13" ht="18.75" customHeight="1" x14ac:dyDescent="0.35">
      <c r="A5" s="3"/>
      <c r="B5" s="11"/>
      <c r="C5" s="18" t="s">
        <v>308</v>
      </c>
      <c r="D5" s="11" t="s">
        <v>309</v>
      </c>
      <c r="E5" s="11" t="s">
        <v>309</v>
      </c>
      <c r="F5" s="11" t="s">
        <v>309</v>
      </c>
      <c r="G5" s="11" t="s">
        <v>309</v>
      </c>
      <c r="H5" s="11" t="s">
        <v>309</v>
      </c>
      <c r="I5" s="11" t="s">
        <v>309</v>
      </c>
      <c r="J5" s="11" t="s">
        <v>309</v>
      </c>
      <c r="K5" s="3"/>
    </row>
    <row r="6" spans="1:13" ht="18.75" customHeight="1" x14ac:dyDescent="0.35">
      <c r="A6" s="3"/>
      <c r="B6" s="11"/>
      <c r="C6" s="18"/>
      <c r="D6" s="11"/>
      <c r="E6" s="11"/>
      <c r="F6" s="11"/>
      <c r="G6" s="11"/>
      <c r="H6" s="11"/>
      <c r="I6" s="11"/>
      <c r="J6" s="11"/>
      <c r="K6" s="3"/>
    </row>
    <row r="7" spans="1:13" ht="18.75" customHeight="1" x14ac:dyDescent="0.35">
      <c r="A7" s="3"/>
      <c r="B7" s="11" t="s">
        <v>476</v>
      </c>
      <c r="C7" s="18"/>
      <c r="D7" s="26">
        <v>4287217.04</v>
      </c>
      <c r="E7" s="26">
        <v>1834919.84</v>
      </c>
      <c r="F7" s="26">
        <v>2198306.71</v>
      </c>
      <c r="G7" s="26">
        <v>2198306.71</v>
      </c>
      <c r="H7" s="26">
        <v>2354481.48</v>
      </c>
      <c r="I7" s="26">
        <v>2391665.9500000002</v>
      </c>
      <c r="J7" s="26">
        <v>2368736.7200000002</v>
      </c>
      <c r="K7" s="3"/>
    </row>
    <row r="8" spans="1:13" ht="18.75" customHeight="1" x14ac:dyDescent="0.35">
      <c r="A8" s="3"/>
      <c r="B8" s="11"/>
      <c r="K8" s="3"/>
    </row>
    <row r="9" spans="1:13" ht="18.75" customHeight="1" x14ac:dyDescent="0.35">
      <c r="A9" s="11" t="s">
        <v>3</v>
      </c>
      <c r="B9" s="11" t="s">
        <v>4</v>
      </c>
      <c r="C9" s="18" t="s">
        <v>475</v>
      </c>
      <c r="D9" s="15" t="s">
        <v>475</v>
      </c>
      <c r="E9" s="15" t="s">
        <v>475</v>
      </c>
      <c r="F9" s="15" t="s">
        <v>475</v>
      </c>
      <c r="G9" s="15" t="s">
        <v>475</v>
      </c>
      <c r="H9" s="15" t="s">
        <v>475</v>
      </c>
      <c r="I9" s="15" t="s">
        <v>475</v>
      </c>
      <c r="J9" s="15" t="s">
        <v>475</v>
      </c>
      <c r="K9" s="3"/>
    </row>
    <row r="10" spans="1:13" ht="18.75" customHeight="1" x14ac:dyDescent="0.35">
      <c r="A10" s="3" t="s">
        <v>34</v>
      </c>
      <c r="B10" s="14" t="s">
        <v>51</v>
      </c>
      <c r="C10" s="7">
        <v>45982.729999999996</v>
      </c>
      <c r="D10" s="7">
        <v>0</v>
      </c>
      <c r="E10" s="7">
        <v>0</v>
      </c>
      <c r="F10" s="7">
        <v>0</v>
      </c>
      <c r="G10" s="7">
        <v>0</v>
      </c>
      <c r="H10" s="7">
        <v>0</v>
      </c>
      <c r="I10" s="7">
        <v>0</v>
      </c>
      <c r="J10" s="7">
        <v>0</v>
      </c>
      <c r="K10" s="3"/>
      <c r="L10" s="3"/>
      <c r="M10" s="3"/>
    </row>
    <row r="11" spans="1:13" ht="18.75" customHeight="1" x14ac:dyDescent="0.35">
      <c r="A11" s="3" t="s">
        <v>75</v>
      </c>
      <c r="B11" s="14" t="s">
        <v>80</v>
      </c>
      <c r="C11" s="7">
        <v>185032.67</v>
      </c>
      <c r="D11" s="97">
        <f>0.04315*D7</f>
        <v>184993.41527600001</v>
      </c>
      <c r="E11" s="97">
        <f>0.10082*E7</f>
        <v>184996.61826880003</v>
      </c>
      <c r="F11" s="97">
        <f>0.08415*F7</f>
        <v>184987.5096465</v>
      </c>
      <c r="G11" s="97">
        <f>0.08415*G7</f>
        <v>184987.5096465</v>
      </c>
      <c r="H11" s="97">
        <f>0.07857*H7</f>
        <v>184991.6098836</v>
      </c>
      <c r="I11" s="97">
        <f>0.07735*I7</f>
        <v>184995.36123250003</v>
      </c>
      <c r="J11" s="99">
        <f>0.0781*J7</f>
        <v>184998.33783200002</v>
      </c>
      <c r="L11" s="3"/>
      <c r="M11" s="3"/>
    </row>
    <row r="12" spans="1:13" ht="18.75" customHeight="1" x14ac:dyDescent="0.35">
      <c r="A12" s="3" t="s">
        <v>22</v>
      </c>
      <c r="B12" s="14" t="s">
        <v>95</v>
      </c>
      <c r="C12" s="7">
        <v>854991.74000000011</v>
      </c>
      <c r="D12" s="98">
        <f>0.235*D7</f>
        <v>1007496.0044</v>
      </c>
      <c r="E12" s="7">
        <f>0.21*E7</f>
        <v>385333.16639999999</v>
      </c>
      <c r="F12" s="98">
        <f>0.215*F7</f>
        <v>472635.94264999998</v>
      </c>
      <c r="G12" s="98">
        <f>0.215*G7</f>
        <v>472635.94264999998</v>
      </c>
      <c r="H12" s="98">
        <f>0.215*H7</f>
        <v>506213.51819999999</v>
      </c>
      <c r="I12" s="98">
        <f>0.215*I7</f>
        <v>514208.17925000004</v>
      </c>
      <c r="J12" s="98">
        <f>0.215*J7</f>
        <v>509278.39480000001</v>
      </c>
      <c r="L12" s="3"/>
      <c r="M12" s="3"/>
    </row>
    <row r="13" spans="1:13" ht="18.75" customHeight="1" x14ac:dyDescent="0.35">
      <c r="A13" s="3" t="s">
        <v>22</v>
      </c>
      <c r="B13" s="14" t="s">
        <v>96</v>
      </c>
      <c r="C13" s="7">
        <v>901161.27999999991</v>
      </c>
      <c r="D13" s="97">
        <f>0.23519*D7</f>
        <v>1008310.5756376</v>
      </c>
      <c r="E13" s="97">
        <f>0.21193*E7</f>
        <v>388874.56169120001</v>
      </c>
      <c r="F13" s="99">
        <f>0.2231*F7</f>
        <v>490442.22700099996</v>
      </c>
      <c r="G13" s="99">
        <f>0.2231*G7</f>
        <v>490442.22700099996</v>
      </c>
      <c r="H13" s="97">
        <f>0.23019*H7</f>
        <v>541978.09188119997</v>
      </c>
      <c r="I13" s="97">
        <f>0.23174*I7</f>
        <v>554244.66725300008</v>
      </c>
      <c r="J13" s="97">
        <f>0.23079*J7</f>
        <v>546680.74760880007</v>
      </c>
      <c r="L13" s="3"/>
      <c r="M13" s="3"/>
    </row>
    <row r="14" spans="1:13" ht="18.75" customHeight="1" x14ac:dyDescent="0.35">
      <c r="A14" s="3" t="s">
        <v>34</v>
      </c>
      <c r="B14" s="14" t="s">
        <v>111</v>
      </c>
      <c r="C14" s="7">
        <v>766379.15</v>
      </c>
      <c r="D14" s="7">
        <f t="shared" ref="D14:J14" si="0">0.08*D7</f>
        <v>342977.36320000002</v>
      </c>
      <c r="E14" s="7">
        <f t="shared" si="0"/>
        <v>146793.58720000001</v>
      </c>
      <c r="F14" s="7">
        <f t="shared" si="0"/>
        <v>175864.5368</v>
      </c>
      <c r="G14" s="7">
        <f t="shared" si="0"/>
        <v>175864.5368</v>
      </c>
      <c r="H14" s="7">
        <f t="shared" si="0"/>
        <v>188358.5184</v>
      </c>
      <c r="I14" s="7">
        <f t="shared" si="0"/>
        <v>191333.27600000001</v>
      </c>
      <c r="J14" s="7">
        <f t="shared" si="0"/>
        <v>189498.93760000003</v>
      </c>
      <c r="L14" s="3"/>
      <c r="M14" s="3"/>
    </row>
    <row r="15" spans="1:13" ht="18.75" customHeight="1" x14ac:dyDescent="0.35">
      <c r="A15" s="3" t="s">
        <v>63</v>
      </c>
      <c r="B15" s="14" t="s">
        <v>118</v>
      </c>
      <c r="C15" s="72">
        <v>49958.330000000009</v>
      </c>
      <c r="D15" s="97">
        <f>0.01166*D7</f>
        <v>49988.9506864</v>
      </c>
      <c r="E15" s="97">
        <f>0.02725*E7</f>
        <v>50001.565640000001</v>
      </c>
      <c r="F15" s="97">
        <f>0.02275*F7</f>
        <v>50011.477652499998</v>
      </c>
      <c r="G15" s="97">
        <f>0.02275*G7</f>
        <v>50011.477652499998</v>
      </c>
      <c r="H15" s="97">
        <f>0.02124*H7</f>
        <v>50009.186635199992</v>
      </c>
      <c r="I15" s="97">
        <f>0.02091*I7</f>
        <v>50009.735014500009</v>
      </c>
      <c r="J15" s="97">
        <f>0.02111*J7</f>
        <v>50004.032159200004</v>
      </c>
      <c r="L15" s="3"/>
      <c r="M15" s="3"/>
    </row>
    <row r="16" spans="1:13" ht="18.75" customHeight="1" x14ac:dyDescent="0.35">
      <c r="A16" s="3" t="s">
        <v>63</v>
      </c>
      <c r="B16" s="14" t="s">
        <v>119</v>
      </c>
      <c r="C16" s="7">
        <v>670581.7300000001</v>
      </c>
      <c r="D16" s="7">
        <f t="shared" ref="D16:J16" si="1">0.16*D7</f>
        <v>685954.72640000004</v>
      </c>
      <c r="E16" s="7">
        <f t="shared" si="1"/>
        <v>293587.17440000002</v>
      </c>
      <c r="F16" s="7">
        <f t="shared" si="1"/>
        <v>351729.0736</v>
      </c>
      <c r="G16" s="7">
        <f t="shared" si="1"/>
        <v>351729.0736</v>
      </c>
      <c r="H16" s="7">
        <f t="shared" si="1"/>
        <v>376717.0368</v>
      </c>
      <c r="I16" s="7">
        <f t="shared" si="1"/>
        <v>382666.55200000003</v>
      </c>
      <c r="J16" s="7">
        <f t="shared" si="1"/>
        <v>378997.87520000007</v>
      </c>
      <c r="L16" s="3"/>
      <c r="M16" s="3"/>
    </row>
    <row r="17" spans="1:13" ht="18.75" customHeight="1" x14ac:dyDescent="0.35">
      <c r="A17" s="3" t="s">
        <v>63</v>
      </c>
      <c r="B17" s="14" t="s">
        <v>63</v>
      </c>
      <c r="C17" s="7">
        <v>854991.74000000011</v>
      </c>
      <c r="D17" s="98">
        <f>0.235*D7</f>
        <v>1007496.0044</v>
      </c>
      <c r="E17" s="7">
        <f>0.21*E7</f>
        <v>385333.16639999999</v>
      </c>
      <c r="F17" s="98">
        <f>0.215*F7</f>
        <v>472635.94264999998</v>
      </c>
      <c r="G17" s="98">
        <f>0.215*G7</f>
        <v>472635.94264999998</v>
      </c>
      <c r="H17" s="98">
        <f>0.215*H7</f>
        <v>506213.51819999999</v>
      </c>
      <c r="I17" s="98">
        <f>0.215*I7</f>
        <v>514208.17925000004</v>
      </c>
      <c r="J17" s="98">
        <f>0.215*J7</f>
        <v>509278.39480000001</v>
      </c>
      <c r="L17" s="3"/>
      <c r="M17" s="3"/>
    </row>
    <row r="18" spans="1:13" ht="18.75" customHeight="1" x14ac:dyDescent="0.35">
      <c r="A18" s="3"/>
      <c r="B18" s="60" t="s">
        <v>13</v>
      </c>
      <c r="C18" s="15">
        <f>SUM(C10:C17)</f>
        <v>4329079.37</v>
      </c>
      <c r="D18" s="15">
        <f>SUM(D10:D17)</f>
        <v>4287217.04</v>
      </c>
      <c r="E18" s="15">
        <f>SUM(E10:E17)</f>
        <v>1834919.8399999999</v>
      </c>
      <c r="F18" s="15">
        <f>SUM(F10:F17)</f>
        <v>2198306.7099999995</v>
      </c>
      <c r="G18" s="15">
        <f>SUM(G10:G17)</f>
        <v>2198306.7099999995</v>
      </c>
      <c r="H18" s="15">
        <f>SUM(H11:H17)</f>
        <v>2354481.4799999995</v>
      </c>
      <c r="I18" s="15">
        <f>SUM(I10:I17)</f>
        <v>2391665.9500000007</v>
      </c>
      <c r="J18" s="15">
        <f>SUM(J10:J17)</f>
        <v>2368736.7200000002</v>
      </c>
      <c r="K18" s="3"/>
      <c r="L18" s="3"/>
      <c r="M18" s="3"/>
    </row>
    <row r="19" spans="1:13" ht="18.75" customHeight="1" x14ac:dyDescent="0.35">
      <c r="A19" s="3"/>
      <c r="B19" s="14"/>
      <c r="C19" s="3"/>
      <c r="D19" s="3"/>
      <c r="E19" s="3"/>
      <c r="F19" s="3"/>
      <c r="G19" s="3"/>
      <c r="H19" s="3"/>
      <c r="I19" s="3"/>
      <c r="J19" s="3"/>
      <c r="K19" s="3"/>
      <c r="L19" s="3"/>
      <c r="M19" s="3"/>
    </row>
    <row r="20" spans="1:13" ht="18.75" customHeight="1" x14ac:dyDescent="0.35">
      <c r="A20" s="3"/>
      <c r="B20" s="14"/>
      <c r="C20" s="3"/>
      <c r="D20" s="3"/>
      <c r="E20" s="3"/>
      <c r="F20" s="3"/>
      <c r="G20" s="3"/>
      <c r="H20" s="3"/>
      <c r="I20" s="3"/>
      <c r="J20" s="3"/>
      <c r="K20" s="3"/>
      <c r="L20" s="3"/>
      <c r="M20" s="3"/>
    </row>
    <row r="21" spans="1:13" ht="18.75" customHeight="1" x14ac:dyDescent="0.35">
      <c r="A21" s="3"/>
      <c r="B21" s="14"/>
      <c r="C21" s="3"/>
      <c r="D21" s="3"/>
      <c r="E21" s="3"/>
      <c r="F21" s="3"/>
      <c r="G21" s="3"/>
      <c r="H21" s="3"/>
      <c r="I21" s="3"/>
      <c r="J21" s="3"/>
      <c r="K21" s="3"/>
      <c r="L21" s="3"/>
      <c r="M21" s="3"/>
    </row>
    <row r="22" spans="1:13" ht="18.75" customHeight="1" x14ac:dyDescent="0.35">
      <c r="A22" s="3"/>
      <c r="B22" s="14"/>
      <c r="C22" s="3"/>
      <c r="D22" s="3"/>
      <c r="E22" s="3"/>
      <c r="F22" s="3"/>
      <c r="G22" s="3"/>
      <c r="H22" s="3"/>
      <c r="I22" s="3"/>
      <c r="J22" s="3"/>
      <c r="K22" s="3"/>
      <c r="L22" s="3"/>
      <c r="M22" s="3"/>
    </row>
    <row r="23" spans="1:13" ht="18.75" customHeight="1" x14ac:dyDescent="0.35">
      <c r="A23" s="3"/>
      <c r="B23" s="14"/>
      <c r="C23" s="3"/>
      <c r="D23" s="3"/>
      <c r="E23" s="3"/>
      <c r="F23" s="3"/>
      <c r="G23" s="3"/>
      <c r="H23" s="3"/>
      <c r="I23" s="3"/>
      <c r="J23" s="3"/>
      <c r="K23" s="3"/>
    </row>
    <row r="24" spans="1:13" ht="18.75" customHeight="1" x14ac:dyDescent="0.35">
      <c r="A24" s="3"/>
      <c r="B24" s="14"/>
      <c r="C24" s="3"/>
      <c r="D24" s="3"/>
      <c r="E24" s="3"/>
      <c r="F24" s="3"/>
      <c r="G24" s="3"/>
      <c r="H24" s="3"/>
      <c r="I24" s="3"/>
      <c r="J24" s="3"/>
      <c r="K24" s="3"/>
    </row>
    <row r="25" spans="1:13" ht="18.75" customHeight="1" x14ac:dyDescent="0.35">
      <c r="A25" s="3"/>
      <c r="B25" s="14"/>
      <c r="C25" s="3"/>
      <c r="D25" s="3"/>
      <c r="E25" s="3"/>
      <c r="F25" s="3"/>
      <c r="G25" s="3"/>
      <c r="H25" s="3"/>
      <c r="I25" s="3"/>
      <c r="J25" s="3"/>
      <c r="K25" s="3"/>
    </row>
    <row r="26" spans="1:13" ht="18.75" customHeight="1" x14ac:dyDescent="0.35">
      <c r="A26" s="3"/>
      <c r="B26" s="14"/>
      <c r="C26" s="3"/>
      <c r="D26" s="3"/>
      <c r="E26" s="3"/>
      <c r="F26" s="3"/>
      <c r="G26" s="3"/>
      <c r="H26" s="3"/>
      <c r="I26" s="3"/>
      <c r="J26" s="3"/>
      <c r="K26" s="3"/>
    </row>
    <row r="27" spans="1:13" ht="18.75" customHeight="1" x14ac:dyDescent="0.35">
      <c r="B27" s="14"/>
    </row>
    <row r="28" spans="1:13" ht="18" x14ac:dyDescent="0.35">
      <c r="B28" s="14"/>
    </row>
    <row r="29" spans="1:13" ht="18" x14ac:dyDescent="0.35">
      <c r="B29" s="14"/>
    </row>
    <row r="30" spans="1:13" ht="18" x14ac:dyDescent="0.35">
      <c r="B30" s="14"/>
    </row>
    <row r="31" spans="1:13" ht="18" x14ac:dyDescent="0.35">
      <c r="B31" s="14"/>
    </row>
    <row r="32" spans="1:13" ht="18" x14ac:dyDescent="0.35">
      <c r="B32" s="14"/>
    </row>
    <row r="33" spans="2:2" ht="18" x14ac:dyDescent="0.35">
      <c r="B33" s="14"/>
    </row>
    <row r="34" spans="2:2" ht="18" x14ac:dyDescent="0.35">
      <c r="B34" s="14"/>
    </row>
    <row r="35" spans="2:2" ht="18" x14ac:dyDescent="0.35">
      <c r="B35" s="14"/>
    </row>
    <row r="36" spans="2:2" ht="18" x14ac:dyDescent="0.35">
      <c r="B36" s="14"/>
    </row>
    <row r="37" spans="2:2" ht="18" x14ac:dyDescent="0.35">
      <c r="B37" s="14"/>
    </row>
    <row r="39" spans="2:2" ht="18" x14ac:dyDescent="0.35">
      <c r="B39" s="14"/>
    </row>
    <row r="40" spans="2:2" ht="18" x14ac:dyDescent="0.35">
      <c r="B40" s="14"/>
    </row>
    <row r="41" spans="2:2" ht="18" x14ac:dyDescent="0.35">
      <c r="B41" s="14"/>
    </row>
    <row r="42" spans="2:2" ht="18" x14ac:dyDescent="0.35">
      <c r="B42" s="14"/>
    </row>
    <row r="43" spans="2:2" ht="18" x14ac:dyDescent="0.35">
      <c r="B43" s="14"/>
    </row>
    <row r="44" spans="2:2" ht="18" x14ac:dyDescent="0.35">
      <c r="B44" s="14"/>
    </row>
    <row r="45" spans="2:2" ht="18" x14ac:dyDescent="0.35">
      <c r="B45" s="14"/>
    </row>
    <row r="46" spans="2:2" ht="18" x14ac:dyDescent="0.35">
      <c r="B46" s="14"/>
    </row>
    <row r="47" spans="2:2" ht="18" x14ac:dyDescent="0.35">
      <c r="B47" s="14"/>
    </row>
    <row r="48" spans="2:2" ht="18" x14ac:dyDescent="0.35">
      <c r="B48" s="14"/>
    </row>
    <row r="49" spans="2:2" ht="18" x14ac:dyDescent="0.35">
      <c r="B49" s="14"/>
    </row>
    <row r="50" spans="2:2" ht="18" x14ac:dyDescent="0.35">
      <c r="B50" s="14"/>
    </row>
    <row r="51" spans="2:2" ht="18" x14ac:dyDescent="0.35">
      <c r="B51" s="14"/>
    </row>
    <row r="52" spans="2:2" ht="18" x14ac:dyDescent="0.35">
      <c r="B52" s="14"/>
    </row>
    <row r="53" spans="2:2" ht="18" x14ac:dyDescent="0.35">
      <c r="B53" s="14"/>
    </row>
    <row r="54" spans="2:2" ht="18" x14ac:dyDescent="0.35">
      <c r="B54" s="14"/>
    </row>
    <row r="55" spans="2:2" ht="18" x14ac:dyDescent="0.35">
      <c r="B55" s="14"/>
    </row>
    <row r="56" spans="2:2" ht="18" x14ac:dyDescent="0.35">
      <c r="B56" s="14"/>
    </row>
    <row r="57" spans="2:2" ht="18" x14ac:dyDescent="0.35">
      <c r="B57" s="14"/>
    </row>
    <row r="58" spans="2:2" ht="18" x14ac:dyDescent="0.35">
      <c r="B58" s="14"/>
    </row>
    <row r="59" spans="2:2" ht="18" x14ac:dyDescent="0.35">
      <c r="B59" s="14"/>
    </row>
    <row r="60" spans="2:2" ht="18" x14ac:dyDescent="0.35">
      <c r="B60" s="14"/>
    </row>
    <row r="61" spans="2:2" ht="18" x14ac:dyDescent="0.35">
      <c r="B61" s="14"/>
    </row>
    <row r="63" spans="2:2" ht="18" x14ac:dyDescent="0.35">
      <c r="B63" s="14"/>
    </row>
    <row r="64" spans="2:2" ht="18" x14ac:dyDescent="0.35">
      <c r="B64" s="14"/>
    </row>
    <row r="65" spans="2:2" ht="18" x14ac:dyDescent="0.35">
      <c r="B65" s="14"/>
    </row>
    <row r="66" spans="2:2" ht="18" x14ac:dyDescent="0.35">
      <c r="B66" s="14"/>
    </row>
    <row r="67" spans="2:2" ht="18" x14ac:dyDescent="0.35">
      <c r="B67" s="14"/>
    </row>
    <row r="68" spans="2:2" ht="18" x14ac:dyDescent="0.35">
      <c r="B68" s="14"/>
    </row>
    <row r="69" spans="2:2" ht="18" x14ac:dyDescent="0.35">
      <c r="B69" s="14"/>
    </row>
    <row r="70" spans="2:2" ht="18" x14ac:dyDescent="0.35">
      <c r="B70" s="14"/>
    </row>
    <row r="71" spans="2:2" ht="18" x14ac:dyDescent="0.35">
      <c r="B71" s="14"/>
    </row>
    <row r="72" spans="2:2" ht="18" x14ac:dyDescent="0.35">
      <c r="B72" s="14"/>
    </row>
    <row r="73" spans="2:2" ht="18" x14ac:dyDescent="0.35">
      <c r="B73" s="14"/>
    </row>
    <row r="74" spans="2:2" ht="18" x14ac:dyDescent="0.35">
      <c r="B74" s="14"/>
    </row>
    <row r="77" spans="2:2" ht="18" x14ac:dyDescent="0.35">
      <c r="B77" s="14"/>
    </row>
    <row r="78" spans="2:2" ht="18" x14ac:dyDescent="0.35">
      <c r="B78" s="14"/>
    </row>
    <row r="79" spans="2:2" ht="18" x14ac:dyDescent="0.35">
      <c r="B79" s="14"/>
    </row>
    <row r="80" spans="2:2" ht="18" x14ac:dyDescent="0.35">
      <c r="B80" s="14"/>
    </row>
    <row r="81" spans="2:2" ht="18" x14ac:dyDescent="0.35">
      <c r="B81" s="14"/>
    </row>
    <row r="82" spans="2:2" ht="18" x14ac:dyDescent="0.35">
      <c r="B82" s="14"/>
    </row>
    <row r="83" spans="2:2" ht="18" x14ac:dyDescent="0.35">
      <c r="B83" s="14"/>
    </row>
    <row r="84" spans="2:2" ht="18" x14ac:dyDescent="0.35">
      <c r="B84" s="14"/>
    </row>
    <row r="85" spans="2:2" ht="18" x14ac:dyDescent="0.35">
      <c r="B85" s="14"/>
    </row>
    <row r="86" spans="2:2" ht="18" x14ac:dyDescent="0.35">
      <c r="B86" s="14"/>
    </row>
    <row r="87" spans="2:2" ht="18" x14ac:dyDescent="0.35">
      <c r="B87" s="14"/>
    </row>
    <row r="88" spans="2:2" ht="18" x14ac:dyDescent="0.35">
      <c r="B88" s="14"/>
    </row>
    <row r="90" spans="2:2" ht="18" x14ac:dyDescent="0.35">
      <c r="B90" s="14"/>
    </row>
    <row r="91" spans="2:2" ht="18" x14ac:dyDescent="0.35">
      <c r="B91" s="14"/>
    </row>
    <row r="92" spans="2:2" ht="18" x14ac:dyDescent="0.35">
      <c r="B92" s="14"/>
    </row>
    <row r="93" spans="2:2" ht="18" x14ac:dyDescent="0.35">
      <c r="B93" s="14"/>
    </row>
    <row r="96" spans="2:2" ht="18" x14ac:dyDescent="0.35">
      <c r="B96" s="14"/>
    </row>
    <row r="97" spans="2:2" ht="18" x14ac:dyDescent="0.35">
      <c r="B97" s="14"/>
    </row>
    <row r="98" spans="2:2" ht="18" x14ac:dyDescent="0.35">
      <c r="B98" s="14"/>
    </row>
    <row r="99" spans="2:2" ht="18" x14ac:dyDescent="0.35">
      <c r="B99" s="14"/>
    </row>
    <row r="100" spans="2:2" ht="18" x14ac:dyDescent="0.35">
      <c r="B100" s="14"/>
    </row>
    <row r="101" spans="2:2" ht="18" x14ac:dyDescent="0.35">
      <c r="B101" s="14"/>
    </row>
    <row r="102" spans="2:2" ht="18" x14ac:dyDescent="0.35">
      <c r="B102" s="14"/>
    </row>
    <row r="103" spans="2:2" ht="18" x14ac:dyDescent="0.35">
      <c r="B103" s="14"/>
    </row>
    <row r="104" spans="2:2" ht="18" x14ac:dyDescent="0.35">
      <c r="B104" s="14"/>
    </row>
    <row r="106" spans="2:2" ht="18" x14ac:dyDescent="0.35">
      <c r="B106" s="14"/>
    </row>
    <row r="107" spans="2:2" ht="18" x14ac:dyDescent="0.35">
      <c r="B107" s="14"/>
    </row>
    <row r="108" spans="2:2" ht="18" x14ac:dyDescent="0.35">
      <c r="B108" s="14"/>
    </row>
    <row r="109" spans="2:2" ht="18" x14ac:dyDescent="0.35">
      <c r="B109" s="14"/>
    </row>
    <row r="110" spans="2:2" ht="18" x14ac:dyDescent="0.35">
      <c r="B110" s="14"/>
    </row>
    <row r="111" spans="2:2" ht="18" x14ac:dyDescent="0.35">
      <c r="B111" s="14"/>
    </row>
    <row r="112" spans="2:2" ht="18" x14ac:dyDescent="0.35">
      <c r="B112" s="14"/>
    </row>
    <row r="113" spans="2:2" ht="18" x14ac:dyDescent="0.35">
      <c r="B113" s="14"/>
    </row>
    <row r="114" spans="2:2" ht="18" x14ac:dyDescent="0.35">
      <c r="B114" s="14"/>
    </row>
    <row r="115" spans="2:2" ht="18" x14ac:dyDescent="0.35">
      <c r="B115" s="14"/>
    </row>
    <row r="116" spans="2:2" ht="18" x14ac:dyDescent="0.35">
      <c r="B116" s="14"/>
    </row>
    <row r="117" spans="2:2" ht="18" x14ac:dyDescent="0.35">
      <c r="B117" s="14"/>
    </row>
    <row r="118" spans="2:2" ht="18" x14ac:dyDescent="0.35">
      <c r="B118" s="14"/>
    </row>
    <row r="119" spans="2:2" ht="18" x14ac:dyDescent="0.35">
      <c r="B119" s="14"/>
    </row>
    <row r="120" spans="2:2" ht="18" x14ac:dyDescent="0.35">
      <c r="B120" s="14"/>
    </row>
    <row r="121" spans="2:2" ht="18" x14ac:dyDescent="0.35">
      <c r="B121" s="14"/>
    </row>
    <row r="122" spans="2:2" ht="18" x14ac:dyDescent="0.35">
      <c r="B122" s="14"/>
    </row>
    <row r="123" spans="2:2" ht="18" x14ac:dyDescent="0.35">
      <c r="B123" s="14"/>
    </row>
    <row r="124" spans="2:2" ht="18" x14ac:dyDescent="0.35">
      <c r="B124" s="14"/>
    </row>
    <row r="125" spans="2:2" ht="18" x14ac:dyDescent="0.35">
      <c r="B125" s="14"/>
    </row>
    <row r="126" spans="2:2" ht="18" x14ac:dyDescent="0.35">
      <c r="B126" s="14"/>
    </row>
    <row r="127" spans="2:2" ht="18" x14ac:dyDescent="0.35">
      <c r="B127" s="14"/>
    </row>
    <row r="128" spans="2:2" ht="18" x14ac:dyDescent="0.35">
      <c r="B128" s="14"/>
    </row>
    <row r="129" spans="2:2" ht="18" x14ac:dyDescent="0.35">
      <c r="B129" s="14"/>
    </row>
    <row r="130" spans="2:2" ht="18" x14ac:dyDescent="0.35">
      <c r="B130" s="14"/>
    </row>
    <row r="131" spans="2:2" ht="18" x14ac:dyDescent="0.35">
      <c r="B131" s="14"/>
    </row>
    <row r="132" spans="2:2" ht="18" x14ac:dyDescent="0.35">
      <c r="B132" s="14"/>
    </row>
    <row r="133" spans="2:2" ht="18" x14ac:dyDescent="0.35">
      <c r="B133" s="14"/>
    </row>
    <row r="134" spans="2:2" ht="18" x14ac:dyDescent="0.35">
      <c r="B134" s="14"/>
    </row>
    <row r="135" spans="2:2" ht="18" x14ac:dyDescent="0.35">
      <c r="B135" s="14"/>
    </row>
    <row r="136" spans="2:2" ht="18" x14ac:dyDescent="0.35">
      <c r="B136" s="14"/>
    </row>
    <row r="137" spans="2:2" ht="18" x14ac:dyDescent="0.35">
      <c r="B137" s="14"/>
    </row>
    <row r="138" spans="2:2" ht="18" x14ac:dyDescent="0.35">
      <c r="B138" s="14"/>
    </row>
    <row r="139" spans="2:2" ht="18" x14ac:dyDescent="0.35">
      <c r="B139" s="14"/>
    </row>
    <row r="140" spans="2:2" ht="18" x14ac:dyDescent="0.35">
      <c r="B140" s="14"/>
    </row>
    <row r="141" spans="2:2" ht="18" x14ac:dyDescent="0.35">
      <c r="B141" s="14"/>
    </row>
    <row r="142" spans="2:2" ht="18" x14ac:dyDescent="0.35">
      <c r="B142" s="14"/>
    </row>
    <row r="143" spans="2:2" ht="18" x14ac:dyDescent="0.35">
      <c r="B143" s="14"/>
    </row>
    <row r="144" spans="2:2" ht="18" x14ac:dyDescent="0.35">
      <c r="B144" s="14"/>
    </row>
    <row r="145" spans="2:2" ht="18" x14ac:dyDescent="0.35">
      <c r="B145" s="14"/>
    </row>
    <row r="146" spans="2:2" ht="18" x14ac:dyDescent="0.35">
      <c r="B146" s="14"/>
    </row>
    <row r="147" spans="2:2" ht="18" x14ac:dyDescent="0.35">
      <c r="B147" s="14"/>
    </row>
    <row r="148" spans="2:2" ht="18" x14ac:dyDescent="0.35">
      <c r="B148" s="14"/>
    </row>
    <row r="149" spans="2:2" ht="18" x14ac:dyDescent="0.35">
      <c r="B149" s="14"/>
    </row>
    <row r="150" spans="2:2" ht="18" x14ac:dyDescent="0.35">
      <c r="B150" s="14"/>
    </row>
    <row r="151" spans="2:2" ht="18" x14ac:dyDescent="0.35">
      <c r="B151" s="14"/>
    </row>
    <row r="152" spans="2:2" ht="18" x14ac:dyDescent="0.35">
      <c r="B152" s="14"/>
    </row>
    <row r="153" spans="2:2" ht="18" x14ac:dyDescent="0.35">
      <c r="B153" s="14"/>
    </row>
    <row r="154" spans="2:2" ht="18" x14ac:dyDescent="0.35">
      <c r="B154" s="14"/>
    </row>
    <row r="155" spans="2:2" ht="18" x14ac:dyDescent="0.35">
      <c r="B155" s="14"/>
    </row>
    <row r="156" spans="2:2" ht="18" x14ac:dyDescent="0.35">
      <c r="B156" s="14"/>
    </row>
    <row r="157" spans="2:2" ht="18" x14ac:dyDescent="0.35">
      <c r="B157" s="14"/>
    </row>
    <row r="158" spans="2:2" ht="18" x14ac:dyDescent="0.35">
      <c r="B158" s="14"/>
    </row>
    <row r="159" spans="2:2" ht="18" x14ac:dyDescent="0.35">
      <c r="B159" s="14"/>
    </row>
    <row r="160" spans="2:2" ht="18" x14ac:dyDescent="0.35">
      <c r="B160" s="14"/>
    </row>
    <row r="161" spans="2:2" ht="18" x14ac:dyDescent="0.35">
      <c r="B161" s="14"/>
    </row>
    <row r="162" spans="2:2" ht="18" x14ac:dyDescent="0.35">
      <c r="B162" s="14"/>
    </row>
    <row r="163" spans="2:2" ht="18" x14ac:dyDescent="0.35">
      <c r="B163" s="14"/>
    </row>
    <row r="164" spans="2:2" ht="18" x14ac:dyDescent="0.35">
      <c r="B164" s="14"/>
    </row>
    <row r="165" spans="2:2" ht="18" x14ac:dyDescent="0.35">
      <c r="B165" s="14"/>
    </row>
    <row r="166" spans="2:2" ht="18" x14ac:dyDescent="0.35">
      <c r="B166" s="14"/>
    </row>
    <row r="167" spans="2:2" ht="18" x14ac:dyDescent="0.35">
      <c r="B167" s="14"/>
    </row>
    <row r="168" spans="2:2" ht="18" x14ac:dyDescent="0.35">
      <c r="B168" s="14"/>
    </row>
    <row r="169" spans="2:2" ht="18" x14ac:dyDescent="0.35">
      <c r="B169" s="14"/>
    </row>
    <row r="170" spans="2:2" ht="18" x14ac:dyDescent="0.35">
      <c r="B170" s="14"/>
    </row>
    <row r="171" spans="2:2" ht="18" x14ac:dyDescent="0.35">
      <c r="B171" s="14"/>
    </row>
    <row r="172" spans="2:2" ht="18" x14ac:dyDescent="0.35">
      <c r="B172" s="14"/>
    </row>
    <row r="173" spans="2:2" ht="18" x14ac:dyDescent="0.35">
      <c r="B173" s="14"/>
    </row>
    <row r="174" spans="2:2" ht="18" x14ac:dyDescent="0.35">
      <c r="B174" s="14"/>
    </row>
    <row r="175" spans="2:2" ht="18" x14ac:dyDescent="0.35">
      <c r="B175" s="14"/>
    </row>
    <row r="176" spans="2:2" ht="18" x14ac:dyDescent="0.35">
      <c r="B176" s="14"/>
    </row>
    <row r="177" spans="2:2" ht="18" x14ac:dyDescent="0.35">
      <c r="B177" s="14"/>
    </row>
    <row r="178" spans="2:2" ht="18" x14ac:dyDescent="0.35">
      <c r="B178" s="14"/>
    </row>
    <row r="179" spans="2:2" ht="18" x14ac:dyDescent="0.35">
      <c r="B179" s="14"/>
    </row>
    <row r="180" spans="2:2" ht="18" x14ac:dyDescent="0.35">
      <c r="B180" s="14"/>
    </row>
    <row r="181" spans="2:2" ht="18" x14ac:dyDescent="0.35">
      <c r="B181" s="14"/>
    </row>
    <row r="182" spans="2:2" ht="18" x14ac:dyDescent="0.35">
      <c r="B182" s="14"/>
    </row>
    <row r="183" spans="2:2" ht="18" x14ac:dyDescent="0.35">
      <c r="B183" s="14"/>
    </row>
    <row r="184" spans="2:2" ht="18" x14ac:dyDescent="0.35">
      <c r="B184" s="14"/>
    </row>
    <row r="185" spans="2:2" ht="18" x14ac:dyDescent="0.35">
      <c r="B185" s="14"/>
    </row>
    <row r="186" spans="2:2" ht="18" x14ac:dyDescent="0.35">
      <c r="B186" s="14"/>
    </row>
    <row r="187" spans="2:2" ht="18" x14ac:dyDescent="0.35">
      <c r="B187" s="14"/>
    </row>
    <row r="188" spans="2:2" ht="18" x14ac:dyDescent="0.35">
      <c r="B188" s="14"/>
    </row>
    <row r="189" spans="2:2" ht="18" x14ac:dyDescent="0.35">
      <c r="B189" s="14"/>
    </row>
    <row r="190" spans="2:2" ht="18" x14ac:dyDescent="0.35">
      <c r="B190" s="14"/>
    </row>
    <row r="191" spans="2:2" ht="18" x14ac:dyDescent="0.35">
      <c r="B191" s="14"/>
    </row>
    <row r="192" spans="2:2" ht="18" x14ac:dyDescent="0.35">
      <c r="B192" s="14"/>
    </row>
    <row r="193" spans="2:2" ht="18" x14ac:dyDescent="0.35">
      <c r="B193" s="14"/>
    </row>
    <row r="194" spans="2:2" ht="18" x14ac:dyDescent="0.35">
      <c r="B194" s="14"/>
    </row>
    <row r="195" spans="2:2" ht="18" x14ac:dyDescent="0.35">
      <c r="B195" s="14"/>
    </row>
    <row r="196" spans="2:2" ht="18" x14ac:dyDescent="0.35">
      <c r="B196" s="14"/>
    </row>
    <row r="197" spans="2:2" ht="18" x14ac:dyDescent="0.35">
      <c r="B197" s="14"/>
    </row>
    <row r="198" spans="2:2" ht="18" x14ac:dyDescent="0.35">
      <c r="B198" s="14"/>
    </row>
    <row r="199" spans="2:2" ht="18" x14ac:dyDescent="0.35">
      <c r="B199" s="14"/>
    </row>
    <row r="200" spans="2:2" ht="18" x14ac:dyDescent="0.35">
      <c r="B200" s="14"/>
    </row>
    <row r="201" spans="2:2" ht="18" x14ac:dyDescent="0.35">
      <c r="B201" s="14"/>
    </row>
    <row r="202" spans="2:2" ht="18" x14ac:dyDescent="0.35">
      <c r="B202" s="14"/>
    </row>
    <row r="203" spans="2:2" ht="18" x14ac:dyDescent="0.35">
      <c r="B203" s="14"/>
    </row>
    <row r="204" spans="2:2" ht="18" x14ac:dyDescent="0.35">
      <c r="B204" s="14"/>
    </row>
    <row r="205" spans="2:2" ht="18" x14ac:dyDescent="0.35">
      <c r="B205" s="14"/>
    </row>
    <row r="206" spans="2:2" ht="18" x14ac:dyDescent="0.35">
      <c r="B206" s="14"/>
    </row>
    <row r="207" spans="2:2" ht="18" x14ac:dyDescent="0.35">
      <c r="B207" s="14"/>
    </row>
    <row r="208" spans="2:2" ht="18" x14ac:dyDescent="0.35">
      <c r="B208" s="14"/>
    </row>
    <row r="209" spans="2:2" ht="18" x14ac:dyDescent="0.35">
      <c r="B209" s="14"/>
    </row>
    <row r="210" spans="2:2" ht="18" x14ac:dyDescent="0.35">
      <c r="B210" s="14"/>
    </row>
    <row r="211" spans="2:2" ht="18" x14ac:dyDescent="0.35">
      <c r="B211" s="14"/>
    </row>
    <row r="212" spans="2:2" ht="18" x14ac:dyDescent="0.35">
      <c r="B212" s="14"/>
    </row>
    <row r="213" spans="2:2" ht="18" x14ac:dyDescent="0.35">
      <c r="B213" s="14"/>
    </row>
    <row r="214" spans="2:2" ht="18" x14ac:dyDescent="0.35">
      <c r="B214" s="14"/>
    </row>
    <row r="215" spans="2:2" ht="18" x14ac:dyDescent="0.35">
      <c r="B215" s="14"/>
    </row>
    <row r="216" spans="2:2" ht="18" x14ac:dyDescent="0.35">
      <c r="B216" s="14"/>
    </row>
    <row r="217" spans="2:2" ht="18" x14ac:dyDescent="0.35">
      <c r="B217" s="14"/>
    </row>
    <row r="218" spans="2:2" ht="18" x14ac:dyDescent="0.35">
      <c r="B218" s="14"/>
    </row>
    <row r="219" spans="2:2" ht="18" x14ac:dyDescent="0.35">
      <c r="B219" s="14"/>
    </row>
    <row r="220" spans="2:2" ht="18" x14ac:dyDescent="0.35">
      <c r="B220" s="14"/>
    </row>
    <row r="221" spans="2:2" ht="18" x14ac:dyDescent="0.35">
      <c r="B221" s="14"/>
    </row>
    <row r="222" spans="2:2" ht="18" x14ac:dyDescent="0.35">
      <c r="B222" s="14"/>
    </row>
    <row r="223" spans="2:2" ht="18" x14ac:dyDescent="0.35">
      <c r="B223" s="14"/>
    </row>
    <row r="224" spans="2:2" ht="18" x14ac:dyDescent="0.35">
      <c r="B224" s="14"/>
    </row>
    <row r="225" spans="2:2" ht="18" x14ac:dyDescent="0.35">
      <c r="B225" s="14"/>
    </row>
    <row r="226" spans="2:2" ht="18" x14ac:dyDescent="0.35">
      <c r="B226" s="14"/>
    </row>
    <row r="227" spans="2:2" ht="18" x14ac:dyDescent="0.35">
      <c r="B227" s="14"/>
    </row>
    <row r="228" spans="2:2" ht="18" x14ac:dyDescent="0.35">
      <c r="B228" s="14"/>
    </row>
    <row r="229" spans="2:2" ht="18" x14ac:dyDescent="0.35">
      <c r="B229" s="14"/>
    </row>
    <row r="230" spans="2:2" ht="18" x14ac:dyDescent="0.35">
      <c r="B230" s="14"/>
    </row>
    <row r="231" spans="2:2" ht="18" x14ac:dyDescent="0.35">
      <c r="B231" s="14"/>
    </row>
    <row r="232" spans="2:2" ht="18" x14ac:dyDescent="0.35">
      <c r="B232" s="14"/>
    </row>
    <row r="233" spans="2:2" ht="18" x14ac:dyDescent="0.35">
      <c r="B233" s="14"/>
    </row>
    <row r="234" spans="2:2" ht="18" x14ac:dyDescent="0.35">
      <c r="B234" s="14"/>
    </row>
    <row r="235" spans="2:2" ht="18" x14ac:dyDescent="0.35">
      <c r="B235" s="14"/>
    </row>
    <row r="236" spans="2:2" ht="18" x14ac:dyDescent="0.35">
      <c r="B236" s="14"/>
    </row>
    <row r="237" spans="2:2" ht="18" x14ac:dyDescent="0.35">
      <c r="B237" s="14"/>
    </row>
    <row r="238" spans="2:2" ht="18" x14ac:dyDescent="0.35">
      <c r="B238" s="14"/>
    </row>
    <row r="239" spans="2:2" ht="18" x14ac:dyDescent="0.35">
      <c r="B239" s="14"/>
    </row>
    <row r="240" spans="2:2" ht="18" x14ac:dyDescent="0.35">
      <c r="B240" s="14"/>
    </row>
    <row r="241" spans="2:2" ht="18" x14ac:dyDescent="0.35">
      <c r="B241" s="14"/>
    </row>
    <row r="242" spans="2:2" ht="18" x14ac:dyDescent="0.35">
      <c r="B242" s="14"/>
    </row>
    <row r="243" spans="2:2" ht="18" x14ac:dyDescent="0.35">
      <c r="B243" s="14"/>
    </row>
    <row r="244" spans="2:2" ht="18" x14ac:dyDescent="0.35">
      <c r="B244" s="14"/>
    </row>
    <row r="245" spans="2:2" ht="18" x14ac:dyDescent="0.35">
      <c r="B245" s="14"/>
    </row>
    <row r="246" spans="2:2" ht="18" x14ac:dyDescent="0.35">
      <c r="B246" s="14"/>
    </row>
    <row r="247" spans="2:2" ht="18" x14ac:dyDescent="0.35">
      <c r="B247" s="14"/>
    </row>
    <row r="248" spans="2:2" ht="18" x14ac:dyDescent="0.35">
      <c r="B248" s="14"/>
    </row>
    <row r="249" spans="2:2" ht="18" x14ac:dyDescent="0.35">
      <c r="B249" s="14"/>
    </row>
    <row r="250" spans="2:2" ht="18" x14ac:dyDescent="0.35">
      <c r="B250" s="14"/>
    </row>
    <row r="251" spans="2:2" ht="18" x14ac:dyDescent="0.35">
      <c r="B251" s="14"/>
    </row>
    <row r="252" spans="2:2" ht="18" x14ac:dyDescent="0.35">
      <c r="B252" s="14"/>
    </row>
    <row r="253" spans="2:2" ht="18" x14ac:dyDescent="0.35">
      <c r="B253" s="14"/>
    </row>
    <row r="254" spans="2:2" ht="18" x14ac:dyDescent="0.35">
      <c r="B254" s="14"/>
    </row>
    <row r="255" spans="2:2" ht="18" x14ac:dyDescent="0.35">
      <c r="B255" s="14"/>
    </row>
    <row r="256" spans="2:2" ht="18" x14ac:dyDescent="0.35">
      <c r="B256" s="14"/>
    </row>
    <row r="257" spans="2:2" ht="18" x14ac:dyDescent="0.35">
      <c r="B257" s="14"/>
    </row>
    <row r="258" spans="2:2" ht="18" x14ac:dyDescent="0.35">
      <c r="B258" s="14"/>
    </row>
    <row r="259" spans="2:2" ht="18" x14ac:dyDescent="0.35">
      <c r="B259" s="14"/>
    </row>
    <row r="260" spans="2:2" ht="18" x14ac:dyDescent="0.35">
      <c r="B260" s="14"/>
    </row>
    <row r="261" spans="2:2" ht="18" x14ac:dyDescent="0.35">
      <c r="B261" s="14"/>
    </row>
    <row r="262" spans="2:2" ht="18" x14ac:dyDescent="0.35">
      <c r="B262" s="14"/>
    </row>
    <row r="263" spans="2:2" ht="18" x14ac:dyDescent="0.35">
      <c r="B263" s="14"/>
    </row>
    <row r="264" spans="2:2" ht="18" x14ac:dyDescent="0.35">
      <c r="B264" s="14"/>
    </row>
    <row r="265" spans="2:2" ht="18" x14ac:dyDescent="0.35">
      <c r="B265" s="14"/>
    </row>
    <row r="266" spans="2:2" ht="18" x14ac:dyDescent="0.35">
      <c r="B266" s="14"/>
    </row>
    <row r="267" spans="2:2" ht="18" x14ac:dyDescent="0.35">
      <c r="B267" s="14"/>
    </row>
    <row r="268" spans="2:2" ht="18" x14ac:dyDescent="0.35">
      <c r="B268" s="14"/>
    </row>
    <row r="269" spans="2:2" ht="18" x14ac:dyDescent="0.35">
      <c r="B269" s="14"/>
    </row>
    <row r="270" spans="2:2" ht="18" x14ac:dyDescent="0.35">
      <c r="B270" s="14"/>
    </row>
    <row r="271" spans="2:2" ht="18" x14ac:dyDescent="0.35">
      <c r="B271" s="14"/>
    </row>
    <row r="272" spans="2:2" ht="18" x14ac:dyDescent="0.35">
      <c r="B272" s="14"/>
    </row>
    <row r="273" spans="2:2" ht="18" x14ac:dyDescent="0.35">
      <c r="B273" s="14"/>
    </row>
    <row r="274" spans="2:2" ht="18" x14ac:dyDescent="0.35">
      <c r="B274" s="14"/>
    </row>
    <row r="275" spans="2:2" ht="18" x14ac:dyDescent="0.35">
      <c r="B275" s="14"/>
    </row>
    <row r="276" spans="2:2" ht="18" x14ac:dyDescent="0.35">
      <c r="B276" s="14"/>
    </row>
    <row r="277" spans="2:2" ht="18" x14ac:dyDescent="0.35">
      <c r="B277" s="14"/>
    </row>
    <row r="278" spans="2:2" ht="18" x14ac:dyDescent="0.35">
      <c r="B278" s="14"/>
    </row>
    <row r="279" spans="2:2" ht="18" x14ac:dyDescent="0.35">
      <c r="B279" s="14"/>
    </row>
    <row r="280" spans="2:2" ht="18" x14ac:dyDescent="0.35">
      <c r="B280" s="14"/>
    </row>
    <row r="281" spans="2:2" ht="18" x14ac:dyDescent="0.35">
      <c r="B281" s="14"/>
    </row>
    <row r="282" spans="2:2" ht="18" x14ac:dyDescent="0.35">
      <c r="B282" s="14"/>
    </row>
    <row r="283" spans="2:2" ht="18" x14ac:dyDescent="0.35">
      <c r="B283" s="14"/>
    </row>
    <row r="284" spans="2:2" ht="18" x14ac:dyDescent="0.35">
      <c r="B284" s="14"/>
    </row>
    <row r="285" spans="2:2" ht="18" x14ac:dyDescent="0.35">
      <c r="B285" s="14"/>
    </row>
    <row r="286" spans="2:2" ht="18" x14ac:dyDescent="0.35">
      <c r="B286" s="14"/>
    </row>
    <row r="287" spans="2:2" ht="18" x14ac:dyDescent="0.35">
      <c r="B287" s="14"/>
    </row>
    <row r="288" spans="2:2" ht="18" x14ac:dyDescent="0.35">
      <c r="B288" s="14"/>
    </row>
    <row r="289" spans="2:2" ht="18" x14ac:dyDescent="0.35">
      <c r="B289" s="14"/>
    </row>
    <row r="290" spans="2:2" ht="18" x14ac:dyDescent="0.35">
      <c r="B290" s="14"/>
    </row>
  </sheetData>
  <sheetProtection algorithmName="SHA-512" hashValue="PsLvfXUpgadVL9yVFH8ga0kYCaTjPH07P8bOUFDqRxx8jUUbe6N7r9gOu8jvuZsZgWd2GU3H5oX6E7oAfhAfnA==" saltValue="3/UGsNmPGiQUA0vBvoqBGQ==" spinCount="100000" sheet="1" sort="0" autoFilter="0" pivotTables="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5F85-2901-4711-BA59-F94D93AB94C6}">
  <dimension ref="A1:U9"/>
  <sheetViews>
    <sheetView workbookViewId="0">
      <selection activeCell="C8" sqref="C8"/>
    </sheetView>
  </sheetViews>
  <sheetFormatPr defaultRowHeight="14.4" x14ac:dyDescent="0.3"/>
  <cols>
    <col min="1" max="1" width="15" customWidth="1"/>
    <col min="2" max="2" width="38.109375" customWidth="1"/>
    <col min="3" max="3" width="22.88671875" customWidth="1"/>
    <col min="4" max="4" width="19.33203125" customWidth="1"/>
    <col min="5" max="7" width="17.88671875" bestFit="1" customWidth="1"/>
    <col min="8" max="15" width="16.44140625" bestFit="1" customWidth="1"/>
    <col min="16" max="19" width="17.88671875" bestFit="1" customWidth="1"/>
    <col min="20" max="20" width="16.44140625" bestFit="1" customWidth="1"/>
    <col min="21" max="21" width="19.109375" bestFit="1" customWidth="1"/>
  </cols>
  <sheetData>
    <row r="1" spans="1:21" ht="22.8" x14ac:dyDescent="0.4">
      <c r="A1" s="57" t="s">
        <v>467</v>
      </c>
      <c r="C1" s="5"/>
      <c r="D1" s="5"/>
      <c r="E1" s="5"/>
      <c r="F1" s="5"/>
      <c r="G1" s="5"/>
      <c r="H1" s="5"/>
      <c r="I1" s="5"/>
      <c r="J1" s="5"/>
      <c r="K1" s="5"/>
      <c r="L1" s="5"/>
      <c r="M1" s="5"/>
      <c r="N1" s="5"/>
      <c r="O1" s="5"/>
      <c r="P1" s="5"/>
      <c r="Q1" s="5"/>
      <c r="R1" s="5"/>
      <c r="S1" s="5"/>
      <c r="T1" s="5"/>
      <c r="U1" s="3"/>
    </row>
    <row r="2" spans="1:21" s="1" customFormat="1" ht="18" x14ac:dyDescent="0.35">
      <c r="A2" s="3" t="s">
        <v>469</v>
      </c>
      <c r="C2" s="18"/>
      <c r="D2" s="18"/>
      <c r="E2" s="18"/>
      <c r="F2" s="18"/>
      <c r="G2" s="18"/>
      <c r="H2" s="18"/>
      <c r="I2" s="18"/>
      <c r="J2" s="18"/>
      <c r="K2" s="18"/>
      <c r="L2" s="18"/>
      <c r="M2" s="18"/>
      <c r="N2" s="18"/>
      <c r="O2" s="18"/>
      <c r="P2" s="18"/>
      <c r="Q2" s="18"/>
      <c r="R2" s="18"/>
      <c r="S2" s="18"/>
      <c r="T2" s="18"/>
    </row>
    <row r="3" spans="1:21" s="1" customFormat="1" ht="18" x14ac:dyDescent="0.35">
      <c r="A3" s="3"/>
      <c r="C3" s="18"/>
      <c r="D3" s="18"/>
      <c r="E3" s="18"/>
      <c r="F3" s="18"/>
      <c r="G3" s="18"/>
      <c r="H3" s="18"/>
      <c r="I3" s="18"/>
      <c r="J3" s="18"/>
      <c r="K3" s="18"/>
      <c r="L3" s="18"/>
      <c r="M3" s="18"/>
      <c r="N3" s="18"/>
      <c r="O3" s="18"/>
      <c r="P3" s="18"/>
      <c r="Q3" s="18"/>
      <c r="R3" s="18"/>
      <c r="S3" s="18"/>
      <c r="T3" s="18"/>
    </row>
    <row r="4" spans="1:21" ht="22.8" x14ac:dyDescent="0.4">
      <c r="A4" s="57"/>
      <c r="C4" s="5">
        <v>2023</v>
      </c>
      <c r="D4" s="5">
        <v>2024</v>
      </c>
      <c r="E4" s="5">
        <v>2025</v>
      </c>
      <c r="F4" s="5">
        <v>2026</v>
      </c>
      <c r="G4" s="5">
        <v>2027</v>
      </c>
      <c r="H4" s="5">
        <v>2028</v>
      </c>
      <c r="I4" s="5">
        <v>2029</v>
      </c>
      <c r="J4" s="5">
        <v>2030</v>
      </c>
      <c r="K4" s="5">
        <v>2031</v>
      </c>
      <c r="L4" s="5">
        <v>2032</v>
      </c>
      <c r="M4" s="5">
        <v>2033</v>
      </c>
      <c r="N4" s="5">
        <v>2034</v>
      </c>
      <c r="O4" s="5">
        <v>2035</v>
      </c>
      <c r="P4" s="5">
        <v>2036</v>
      </c>
      <c r="Q4" s="5">
        <v>2037</v>
      </c>
      <c r="R4" s="5">
        <v>2038</v>
      </c>
      <c r="S4" s="5">
        <v>2039</v>
      </c>
      <c r="T4" s="5">
        <v>2040</v>
      </c>
      <c r="U4" s="3"/>
    </row>
    <row r="5" spans="1:21" ht="17.399999999999999" x14ac:dyDescent="0.3">
      <c r="A5" s="1"/>
      <c r="B5" s="1"/>
      <c r="C5" s="18" t="s">
        <v>308</v>
      </c>
      <c r="D5" s="18" t="s">
        <v>308</v>
      </c>
      <c r="E5" s="18" t="s">
        <v>474</v>
      </c>
      <c r="F5" s="18" t="s">
        <v>474</v>
      </c>
      <c r="G5" s="18" t="s">
        <v>474</v>
      </c>
      <c r="H5" s="18" t="s">
        <v>474</v>
      </c>
      <c r="I5" s="18" t="s">
        <v>474</v>
      </c>
      <c r="J5" s="18" t="s">
        <v>474</v>
      </c>
      <c r="K5" s="18" t="s">
        <v>474</v>
      </c>
      <c r="L5" s="18" t="s">
        <v>474</v>
      </c>
      <c r="M5" s="18" t="s">
        <v>474</v>
      </c>
      <c r="N5" s="18" t="s">
        <v>474</v>
      </c>
      <c r="O5" s="18" t="s">
        <v>474</v>
      </c>
      <c r="P5" s="18" t="s">
        <v>474</v>
      </c>
      <c r="Q5" s="18" t="s">
        <v>474</v>
      </c>
      <c r="R5" s="18" t="s">
        <v>474</v>
      </c>
      <c r="S5" s="18" t="s">
        <v>474</v>
      </c>
      <c r="T5" s="18" t="s">
        <v>474</v>
      </c>
      <c r="U5" s="1"/>
    </row>
    <row r="6" spans="1:21" ht="22.8" x14ac:dyDescent="0.4">
      <c r="B6" s="57"/>
      <c r="C6" s="11" t="s">
        <v>311</v>
      </c>
      <c r="D6" s="11" t="s">
        <v>312</v>
      </c>
      <c r="E6" s="11" t="s">
        <v>313</v>
      </c>
      <c r="F6" s="11" t="s">
        <v>314</v>
      </c>
      <c r="G6" s="11" t="s">
        <v>315</v>
      </c>
      <c r="H6" s="11" t="s">
        <v>321</v>
      </c>
      <c r="I6" s="11" t="s">
        <v>322</v>
      </c>
      <c r="J6" s="11" t="s">
        <v>323</v>
      </c>
      <c r="K6" s="11" t="s">
        <v>324</v>
      </c>
      <c r="L6" s="11" t="s">
        <v>325</v>
      </c>
      <c r="M6" s="11" t="s">
        <v>326</v>
      </c>
      <c r="N6" s="11" t="s">
        <v>327</v>
      </c>
      <c r="O6" s="11" t="s">
        <v>328</v>
      </c>
      <c r="P6" s="11" t="s">
        <v>329</v>
      </c>
      <c r="Q6" s="11" t="s">
        <v>330</v>
      </c>
      <c r="R6" s="11" t="s">
        <v>331</v>
      </c>
      <c r="S6" s="11" t="s">
        <v>332</v>
      </c>
      <c r="T6" s="11" t="s">
        <v>333</v>
      </c>
      <c r="U6" s="11" t="s">
        <v>13</v>
      </c>
    </row>
    <row r="7" spans="1:21" ht="18" x14ac:dyDescent="0.35">
      <c r="A7" s="11" t="s">
        <v>3</v>
      </c>
      <c r="B7" s="11" t="s">
        <v>4</v>
      </c>
      <c r="C7" s="3"/>
      <c r="D7" s="3"/>
      <c r="E7" s="3"/>
      <c r="F7" s="3"/>
      <c r="G7" s="3"/>
      <c r="H7" s="3"/>
      <c r="I7" s="3"/>
      <c r="J7" s="3"/>
      <c r="K7" s="3"/>
      <c r="L7" s="3"/>
      <c r="M7" s="3"/>
      <c r="N7" s="3"/>
      <c r="O7" s="3"/>
      <c r="P7" s="3"/>
      <c r="Q7" s="3"/>
      <c r="R7" s="3"/>
      <c r="S7" s="3"/>
      <c r="T7" s="3"/>
      <c r="U7" s="3"/>
    </row>
    <row r="8" spans="1:21" ht="18" x14ac:dyDescent="0.35">
      <c r="A8" s="8"/>
      <c r="B8" s="3" t="s">
        <v>270</v>
      </c>
      <c r="C8" s="7">
        <v>429476.75</v>
      </c>
      <c r="D8" s="7">
        <v>3292977.8800000008</v>
      </c>
      <c r="E8" s="7">
        <v>3292977.8800000008</v>
      </c>
      <c r="F8" s="7">
        <v>10000000</v>
      </c>
      <c r="G8" s="7">
        <v>10000000</v>
      </c>
      <c r="H8" s="7">
        <v>5000000</v>
      </c>
      <c r="I8" s="7">
        <v>5000000</v>
      </c>
      <c r="J8" s="7">
        <v>5000000</v>
      </c>
      <c r="K8" s="7">
        <v>5000000</v>
      </c>
      <c r="L8" s="7">
        <v>5000000</v>
      </c>
      <c r="M8" s="7">
        <v>5000000</v>
      </c>
      <c r="N8" s="7">
        <v>5000000</v>
      </c>
      <c r="O8" s="7">
        <v>5000000</v>
      </c>
      <c r="P8" s="7">
        <v>10000000</v>
      </c>
      <c r="Q8" s="7">
        <v>10000000</v>
      </c>
      <c r="R8" s="7">
        <v>10000000</v>
      </c>
      <c r="S8" s="7">
        <v>10000000</v>
      </c>
      <c r="T8" s="7">
        <v>9000000</v>
      </c>
      <c r="U8" s="7">
        <f>SUM(C8:T8)</f>
        <v>116015432.51000001</v>
      </c>
    </row>
    <row r="9" spans="1:21" ht="18" x14ac:dyDescent="0.35">
      <c r="C9" s="7"/>
      <c r="D9" s="7"/>
      <c r="E9" s="7"/>
      <c r="F9" s="7"/>
      <c r="G9" s="7"/>
      <c r="H9" s="7"/>
      <c r="I9" s="7"/>
      <c r="J9" s="7"/>
      <c r="K9" s="7"/>
      <c r="L9" s="7"/>
      <c r="M9" s="7"/>
      <c r="N9" s="7"/>
      <c r="O9" s="7"/>
      <c r="P9" s="7"/>
      <c r="Q9" s="7"/>
      <c r="R9" s="7"/>
      <c r="S9" s="7"/>
      <c r="T9" s="7"/>
      <c r="U9" s="7"/>
    </row>
  </sheetData>
  <sheetProtection algorithmName="SHA-512" hashValue="Tel34iT1Ptb81zS5/5/XYOw3NIe5pT5HVnSHF3etPwgp8T/3PbZyjDmTPkfktSJI/MA0Dbqed97e2u4bUB5XTg==" saltValue="FOKpBLPavEJL4fS2R2W/9g==" spinCount="100000" sheet="1" sort="0" autoFilter="0" pivotTables="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8029E-EBA4-4DC8-9E17-EAB2B12ECD8C}">
  <sheetPr codeName="Sheet9"/>
  <dimension ref="A1:X285"/>
  <sheetViews>
    <sheetView zoomScaleNormal="100" workbookViewId="0">
      <pane ySplit="3" topLeftCell="A4" activePane="bottomLeft" state="frozen"/>
      <selection activeCell="A12" sqref="A12:L22"/>
      <selection pane="bottomLeft" activeCell="E3" sqref="E3"/>
    </sheetView>
  </sheetViews>
  <sheetFormatPr defaultRowHeight="18" x14ac:dyDescent="0.35"/>
  <cols>
    <col min="1" max="1" width="23.44140625" customWidth="1"/>
    <col min="2" max="2" width="30.109375" customWidth="1"/>
    <col min="3" max="3" width="42.6640625" customWidth="1"/>
    <col min="4" max="4" width="27" customWidth="1"/>
    <col min="5" max="5" width="18.6640625" style="4" customWidth="1"/>
    <col min="6" max="6" width="18.6640625" customWidth="1"/>
    <col min="7" max="7" width="18.44140625" customWidth="1"/>
    <col min="8" max="9" width="17.88671875" style="2" bestFit="1" customWidth="1"/>
    <col min="10" max="11" width="16" style="2" customWidth="1"/>
    <col min="12" max="19" width="17.88671875" style="2" bestFit="1" customWidth="1"/>
    <col min="20" max="20" width="21.33203125" customWidth="1"/>
    <col min="21" max="21" width="22.109375" style="3" customWidth="1"/>
  </cols>
  <sheetData>
    <row r="1" spans="1:21" s="3" customFormat="1" ht="25.8" x14ac:dyDescent="0.5">
      <c r="A1" s="111" t="s">
        <v>482</v>
      </c>
      <c r="B1" s="112"/>
      <c r="C1" s="112"/>
      <c r="D1" s="46"/>
      <c r="E1" s="3">
        <v>2024</v>
      </c>
      <c r="F1" s="3">
        <v>2024</v>
      </c>
      <c r="G1" s="3">
        <v>2025</v>
      </c>
      <c r="H1" s="3">
        <v>2026</v>
      </c>
      <c r="I1" s="3">
        <v>2027</v>
      </c>
      <c r="J1" s="3">
        <v>2028</v>
      </c>
      <c r="K1" s="3">
        <v>2029</v>
      </c>
      <c r="L1" s="3">
        <v>2030</v>
      </c>
      <c r="M1" s="3">
        <v>2031</v>
      </c>
      <c r="N1" s="3">
        <v>2032</v>
      </c>
      <c r="O1" s="3">
        <v>2033</v>
      </c>
      <c r="P1" s="3">
        <v>2034</v>
      </c>
      <c r="Q1" s="3">
        <v>2035</v>
      </c>
      <c r="R1" s="3">
        <v>2036</v>
      </c>
      <c r="S1" s="3">
        <v>2036</v>
      </c>
    </row>
    <row r="2" spans="1:21" s="11" customFormat="1" ht="17.399999999999999" x14ac:dyDescent="0.3">
      <c r="E2" s="15" t="s">
        <v>308</v>
      </c>
      <c r="F2" s="15" t="s">
        <v>308</v>
      </c>
      <c r="G2" s="15" t="s">
        <v>309</v>
      </c>
      <c r="H2" s="15" t="s">
        <v>309</v>
      </c>
      <c r="I2" s="15" t="s">
        <v>309</v>
      </c>
      <c r="J2" s="15" t="s">
        <v>309</v>
      </c>
      <c r="K2" s="15" t="s">
        <v>309</v>
      </c>
      <c r="L2" s="15" t="s">
        <v>309</v>
      </c>
      <c r="M2" s="15" t="s">
        <v>309</v>
      </c>
      <c r="N2" s="15" t="s">
        <v>309</v>
      </c>
      <c r="O2" s="15" t="s">
        <v>309</v>
      </c>
      <c r="P2" s="15" t="s">
        <v>309</v>
      </c>
      <c r="Q2" s="15" t="s">
        <v>309</v>
      </c>
      <c r="R2" s="15" t="s">
        <v>309</v>
      </c>
      <c r="S2" s="15" t="s">
        <v>309</v>
      </c>
      <c r="T2" s="11" t="s">
        <v>309</v>
      </c>
    </row>
    <row r="3" spans="1:21" s="1" customFormat="1" ht="52.2" x14ac:dyDescent="0.3">
      <c r="A3" s="11" t="s">
        <v>3</v>
      </c>
      <c r="B3" s="11" t="s">
        <v>310</v>
      </c>
      <c r="C3" s="11" t="s">
        <v>4</v>
      </c>
      <c r="D3" s="32" t="s">
        <v>317</v>
      </c>
      <c r="E3" s="75" t="s">
        <v>311</v>
      </c>
      <c r="F3" s="11" t="s">
        <v>312</v>
      </c>
      <c r="G3" s="11" t="s">
        <v>313</v>
      </c>
      <c r="H3" s="15" t="s">
        <v>314</v>
      </c>
      <c r="I3" s="15" t="s">
        <v>315</v>
      </c>
      <c r="J3" s="15" t="s">
        <v>321</v>
      </c>
      <c r="K3" s="15" t="s">
        <v>322</v>
      </c>
      <c r="L3" s="15" t="s">
        <v>323</v>
      </c>
      <c r="M3" s="15" t="s">
        <v>324</v>
      </c>
      <c r="N3" s="15" t="s">
        <v>325</v>
      </c>
      <c r="O3" s="15" t="s">
        <v>326</v>
      </c>
      <c r="P3" s="15" t="s">
        <v>327</v>
      </c>
      <c r="Q3" s="15" t="s">
        <v>328</v>
      </c>
      <c r="R3" s="15" t="s">
        <v>329</v>
      </c>
      <c r="S3" s="15" t="s">
        <v>330</v>
      </c>
      <c r="T3" s="17" t="s">
        <v>345</v>
      </c>
      <c r="U3" s="15" t="s">
        <v>13</v>
      </c>
    </row>
    <row r="4" spans="1:21" x14ac:dyDescent="0.35">
      <c r="A4" s="3" t="s">
        <v>14</v>
      </c>
      <c r="B4" s="16">
        <v>4.3760292217293543E-5</v>
      </c>
      <c r="C4" s="8" t="s">
        <v>15</v>
      </c>
      <c r="D4" s="8" t="s">
        <v>337</v>
      </c>
      <c r="E4" s="25">
        <v>0</v>
      </c>
      <c r="F4" s="25">
        <v>0</v>
      </c>
      <c r="G4" s="25">
        <v>0</v>
      </c>
      <c r="H4" s="25">
        <v>1</v>
      </c>
      <c r="I4" s="25">
        <v>2</v>
      </c>
      <c r="J4" s="25">
        <v>3</v>
      </c>
      <c r="K4" s="25">
        <v>4</v>
      </c>
      <c r="L4" s="25">
        <v>5</v>
      </c>
      <c r="M4" s="25">
        <v>6</v>
      </c>
      <c r="N4" s="25">
        <v>7</v>
      </c>
      <c r="O4" s="25">
        <v>8</v>
      </c>
      <c r="P4" s="25">
        <v>9</v>
      </c>
      <c r="Q4" s="25">
        <v>10</v>
      </c>
      <c r="R4" s="25">
        <v>11</v>
      </c>
      <c r="S4" s="25">
        <v>12</v>
      </c>
      <c r="T4" s="26" t="s">
        <v>346</v>
      </c>
      <c r="U4" s="26">
        <f t="shared" ref="U4:U67" si="0">SUM(E4:S4)</f>
        <v>78</v>
      </c>
    </row>
    <row r="5" spans="1:21" x14ac:dyDescent="0.35">
      <c r="A5" s="3" t="s">
        <v>16</v>
      </c>
      <c r="B5" s="16">
        <v>3.3962665995944998E-4</v>
      </c>
      <c r="C5" s="8" t="s">
        <v>17</v>
      </c>
      <c r="D5" s="33" t="str">
        <f t="shared" ref="D5:D68" si="1">IF(B5&lt;0.000083,"Yes","No")</f>
        <v>No</v>
      </c>
      <c r="E5" s="25">
        <v>1660.65</v>
      </c>
      <c r="F5" s="25">
        <v>921.66</v>
      </c>
      <c r="G5" s="25">
        <f>$B5*'Walgreens National Payments'!E$22</f>
        <v>1207.658379500451</v>
      </c>
      <c r="H5" s="25">
        <f>$B5*'Walgreens National Payments'!F$22</f>
        <v>1207.658379500451</v>
      </c>
      <c r="I5" s="25">
        <f>$B5*'Walgreens National Payments'!G$22</f>
        <v>1207.658379500451</v>
      </c>
      <c r="J5" s="25">
        <f>$B5*'Walgreens National Payments'!H$22</f>
        <v>1207.658379500451</v>
      </c>
      <c r="K5" s="25">
        <f>$B5*'Walgreens National Payments'!I$22</f>
        <v>1207.658379500451</v>
      </c>
      <c r="L5" s="25">
        <f>$B5*'Walgreens National Payments'!J$22</f>
        <v>1829.6002188918001</v>
      </c>
      <c r="M5" s="25">
        <f>$B5*'Walgreens National Payments'!K$22</f>
        <v>1829.6002188918001</v>
      </c>
      <c r="N5" s="25">
        <f>$B5*'Walgreens National Payments'!L$22</f>
        <v>1829.6002188918001</v>
      </c>
      <c r="O5" s="25">
        <f>$B5*'Walgreens National Payments'!M$22</f>
        <v>1829.6002188918001</v>
      </c>
      <c r="P5" s="25">
        <f>$B5*'Walgreens National Payments'!N$22</f>
        <v>1829.6002188918001</v>
      </c>
      <c r="Q5" s="25">
        <f>$B5*'Walgreens National Payments'!O$22</f>
        <v>1829.6002188918001</v>
      </c>
      <c r="R5" s="25">
        <f>$B5*'Walgreens National Payments'!P$22</f>
        <v>1829.6002188918001</v>
      </c>
      <c r="S5" s="25">
        <f>$B5*'Walgreens National Payments'!Q$22</f>
        <v>1829.6002188918001</v>
      </c>
      <c r="T5" s="26" t="s">
        <v>346</v>
      </c>
      <c r="U5" s="26">
        <f t="shared" si="0"/>
        <v>23257.403648636649</v>
      </c>
    </row>
    <row r="6" spans="1:21" x14ac:dyDescent="0.35">
      <c r="A6" s="3" t="s">
        <v>18</v>
      </c>
      <c r="B6" s="16">
        <v>9.346301204800001E-4</v>
      </c>
      <c r="C6" s="8" t="s">
        <v>18</v>
      </c>
      <c r="D6" s="33" t="str">
        <f t="shared" si="1"/>
        <v>No</v>
      </c>
      <c r="E6" s="25">
        <v>4570.01</v>
      </c>
      <c r="F6" s="25">
        <v>2536.34</v>
      </c>
      <c r="G6" s="25">
        <f>$B6*'Walgreens National Payments'!E$22</f>
        <v>3323.3960398337163</v>
      </c>
      <c r="H6" s="25">
        <f>$B6*'Walgreens National Payments'!F$22</f>
        <v>3323.3960398337163</v>
      </c>
      <c r="I6" s="25">
        <f>$B6*'Walgreens National Payments'!G$22</f>
        <v>3323.3960398337163</v>
      </c>
      <c r="J6" s="25">
        <f>$B6*'Walgreens National Payments'!H$22</f>
        <v>3323.3960398337163</v>
      </c>
      <c r="K6" s="25">
        <f>$B6*'Walgreens National Payments'!I$22</f>
        <v>3323.3960398337163</v>
      </c>
      <c r="L6" s="25">
        <f>$B6*'Walgreens National Payments'!J$22</f>
        <v>5034.9388744018052</v>
      </c>
      <c r="M6" s="25">
        <f>$B6*'Walgreens National Payments'!K$22</f>
        <v>5034.9388744018052</v>
      </c>
      <c r="N6" s="25">
        <f>$B6*'Walgreens National Payments'!L$22</f>
        <v>5034.9388744018052</v>
      </c>
      <c r="O6" s="25">
        <f>$B6*'Walgreens National Payments'!M$22</f>
        <v>5034.9388744018052</v>
      </c>
      <c r="P6" s="25">
        <f>$B6*'Walgreens National Payments'!N$22</f>
        <v>5034.9388744018052</v>
      </c>
      <c r="Q6" s="25">
        <f>$B6*'Walgreens National Payments'!O$22</f>
        <v>5034.9388744018052</v>
      </c>
      <c r="R6" s="25">
        <f>$B6*'Walgreens National Payments'!P$22</f>
        <v>5034.9388744018052</v>
      </c>
      <c r="S6" s="25">
        <f>$B6*'Walgreens National Payments'!Q$22</f>
        <v>5034.9388744018052</v>
      </c>
      <c r="T6" s="26" t="s">
        <v>346</v>
      </c>
      <c r="U6" s="26">
        <f t="shared" si="0"/>
        <v>64002.841194383036</v>
      </c>
    </row>
    <row r="7" spans="1:21" x14ac:dyDescent="0.35">
      <c r="A7" s="3" t="s">
        <v>19</v>
      </c>
      <c r="B7" s="16">
        <v>8.795261608000001E-4</v>
      </c>
      <c r="C7" s="8" t="s">
        <v>19</v>
      </c>
      <c r="D7" s="33" t="str">
        <f t="shared" si="1"/>
        <v>No</v>
      </c>
      <c r="E7" s="25">
        <v>4300.57</v>
      </c>
      <c r="F7" s="25">
        <v>2386.8000000000002</v>
      </c>
      <c r="G7" s="25">
        <f>$B7*'Walgreens National Payments'!E$22</f>
        <v>3127.4551244204431</v>
      </c>
      <c r="H7" s="25">
        <f>$B7*'Walgreens National Payments'!F$22</f>
        <v>3127.4551244204431</v>
      </c>
      <c r="I7" s="25">
        <f>$B7*'Walgreens National Payments'!G$22</f>
        <v>3127.4551244204431</v>
      </c>
      <c r="J7" s="25">
        <f>$B7*'Walgreens National Payments'!H$22</f>
        <v>3127.4551244204431</v>
      </c>
      <c r="K7" s="25">
        <f>$B7*'Walgreens National Payments'!I$22</f>
        <v>3127.4551244204431</v>
      </c>
      <c r="L7" s="25">
        <f>$B7*'Walgreens National Payments'!J$22</f>
        <v>4738.08874872448</v>
      </c>
      <c r="M7" s="25">
        <f>$B7*'Walgreens National Payments'!K$22</f>
        <v>4738.08874872448</v>
      </c>
      <c r="N7" s="25">
        <f>$B7*'Walgreens National Payments'!L$22</f>
        <v>4738.08874872448</v>
      </c>
      <c r="O7" s="25">
        <f>$B7*'Walgreens National Payments'!M$22</f>
        <v>4738.08874872448</v>
      </c>
      <c r="P7" s="25">
        <f>$B7*'Walgreens National Payments'!N$22</f>
        <v>4738.08874872448</v>
      </c>
      <c r="Q7" s="25">
        <f>$B7*'Walgreens National Payments'!O$22</f>
        <v>4738.08874872448</v>
      </c>
      <c r="R7" s="25">
        <f>$B7*'Walgreens National Payments'!P$22</f>
        <v>4738.08874872448</v>
      </c>
      <c r="S7" s="25">
        <f>$B7*'Walgreens National Payments'!Q$22</f>
        <v>4738.08874872448</v>
      </c>
      <c r="T7" s="26" t="s">
        <v>346</v>
      </c>
      <c r="U7" s="26">
        <f t="shared" si="0"/>
        <v>60229.355611898034</v>
      </c>
    </row>
    <row r="8" spans="1:21" x14ac:dyDescent="0.35">
      <c r="A8" s="3" t="s">
        <v>14</v>
      </c>
      <c r="B8" s="16">
        <v>1.7535336933774335E-5</v>
      </c>
      <c r="C8" s="8" t="s">
        <v>20</v>
      </c>
      <c r="D8" s="8" t="s">
        <v>337</v>
      </c>
      <c r="E8" s="25">
        <v>0</v>
      </c>
      <c r="F8" s="25">
        <v>0</v>
      </c>
      <c r="G8" s="25">
        <f>$B8*'Walgreens National Payments'!E$22</f>
        <v>62.352868847117982</v>
      </c>
      <c r="H8" s="25">
        <f>$B8*'Walgreens National Payments'!F$22</f>
        <v>62.352868847117982</v>
      </c>
      <c r="I8" s="25">
        <f>$B8*'Walgreens National Payments'!G$22</f>
        <v>62.352868847117982</v>
      </c>
      <c r="J8" s="25">
        <f>$B8*'Walgreens National Payments'!H$22</f>
        <v>62.352868847117982</v>
      </c>
      <c r="K8" s="25">
        <f>$B8*'Walgreens National Payments'!I$22</f>
        <v>62.352868847117982</v>
      </c>
      <c r="L8" s="25">
        <f>$B8*'Walgreens National Payments'!J$22</f>
        <v>94.464481369647274</v>
      </c>
      <c r="M8" s="25">
        <f>$B8*'Walgreens National Payments'!K$22</f>
        <v>94.464481369647274</v>
      </c>
      <c r="N8" s="25">
        <f>$B8*'Walgreens National Payments'!L$22</f>
        <v>94.464481369647274</v>
      </c>
      <c r="O8" s="25">
        <f>$B8*'Walgreens National Payments'!M$22</f>
        <v>94.464481369647274</v>
      </c>
      <c r="P8" s="25">
        <f>$B8*'Walgreens National Payments'!N$22</f>
        <v>94.464481369647274</v>
      </c>
      <c r="Q8" s="25">
        <f>$B8*'Walgreens National Payments'!O$22</f>
        <v>94.464481369647274</v>
      </c>
      <c r="R8" s="25">
        <f>$B8*'Walgreens National Payments'!P$22</f>
        <v>94.464481369647274</v>
      </c>
      <c r="S8" s="25">
        <f>$B8*'Walgreens National Payments'!Q$22</f>
        <v>94.464481369647274</v>
      </c>
      <c r="T8" s="26" t="s">
        <v>346</v>
      </c>
      <c r="U8" s="26">
        <f t="shared" si="0"/>
        <v>1067.4801951927682</v>
      </c>
    </row>
    <row r="9" spans="1:21" x14ac:dyDescent="0.35">
      <c r="A9" s="3" t="s">
        <v>21</v>
      </c>
      <c r="B9" s="16">
        <v>4.6165611941257866E-3</v>
      </c>
      <c r="C9" s="8" t="s">
        <v>21</v>
      </c>
      <c r="D9" s="33" t="str">
        <f t="shared" si="1"/>
        <v>No</v>
      </c>
      <c r="E9" s="25">
        <v>22573.33</v>
      </c>
      <c r="F9" s="25">
        <v>12528.13</v>
      </c>
      <c r="G9" s="25">
        <f>$B9*'Walgreens National Payments'!E$22</f>
        <v>16415.757264839791</v>
      </c>
      <c r="H9" s="25">
        <f>$B9*'Walgreens National Payments'!F$22</f>
        <v>16415.757264839791</v>
      </c>
      <c r="I9" s="25">
        <f>$B9*'Walgreens National Payments'!G$22</f>
        <v>16415.757264839791</v>
      </c>
      <c r="J9" s="25">
        <f>$B9*'Walgreens National Payments'!H$22</f>
        <v>16415.757264839791</v>
      </c>
      <c r="K9" s="25">
        <f>$B9*'Walgreens National Payments'!I$22</f>
        <v>16415.757264839791</v>
      </c>
      <c r="L9" s="25">
        <f>$B9*'Walgreens National Payments'!J$22</f>
        <v>24869.841997410927</v>
      </c>
      <c r="M9" s="25">
        <f>$B9*'Walgreens National Payments'!K$22</f>
        <v>24869.841997410927</v>
      </c>
      <c r="N9" s="25">
        <f>$B9*'Walgreens National Payments'!L$22</f>
        <v>24869.841997410927</v>
      </c>
      <c r="O9" s="25">
        <f>$B9*'Walgreens National Payments'!M$22</f>
        <v>24869.841997410927</v>
      </c>
      <c r="P9" s="25">
        <f>$B9*'Walgreens National Payments'!N$22</f>
        <v>24869.841997410927</v>
      </c>
      <c r="Q9" s="25">
        <f>$B9*'Walgreens National Payments'!O$22</f>
        <v>24869.841997410927</v>
      </c>
      <c r="R9" s="25">
        <f>$B9*'Walgreens National Payments'!P$22</f>
        <v>24869.841997410927</v>
      </c>
      <c r="S9" s="25">
        <f>$B9*'Walgreens National Payments'!Q$22</f>
        <v>24869.841997410927</v>
      </c>
      <c r="T9" s="26" t="s">
        <v>346</v>
      </c>
      <c r="U9" s="26">
        <f t="shared" si="0"/>
        <v>316138.98230348638</v>
      </c>
    </row>
    <row r="10" spans="1:21" x14ac:dyDescent="0.35">
      <c r="A10" s="3" t="s">
        <v>22</v>
      </c>
      <c r="B10" s="16">
        <v>6.4220260878837781E-4</v>
      </c>
      <c r="C10" s="8" t="s">
        <v>23</v>
      </c>
      <c r="D10" s="33" t="str">
        <f t="shared" si="1"/>
        <v>No</v>
      </c>
      <c r="E10" s="25">
        <v>3140.14</v>
      </c>
      <c r="F10" s="25">
        <v>1742.77</v>
      </c>
      <c r="G10" s="25">
        <f>$B10*'Walgreens National Payments'!E$22</f>
        <v>2283.5703237576618</v>
      </c>
      <c r="H10" s="25">
        <f>$B10*'Walgreens National Payments'!F$22</f>
        <v>2283.5703237576618</v>
      </c>
      <c r="I10" s="25">
        <f>$B10*'Walgreens National Payments'!G$22</f>
        <v>2283.5703237576618</v>
      </c>
      <c r="J10" s="25">
        <f>$B10*'Walgreens National Payments'!H$22</f>
        <v>2283.5703237576618</v>
      </c>
      <c r="K10" s="25">
        <f>$B10*'Walgreens National Payments'!I$22</f>
        <v>2283.5703237576618</v>
      </c>
      <c r="L10" s="25">
        <f>$B10*'Walgreens National Payments'!J$22</f>
        <v>3459.6048312355342</v>
      </c>
      <c r="M10" s="25">
        <f>$B10*'Walgreens National Payments'!K$22</f>
        <v>3459.6048312355342</v>
      </c>
      <c r="N10" s="25">
        <f>$B10*'Walgreens National Payments'!L$22</f>
        <v>3459.6048312355342</v>
      </c>
      <c r="O10" s="25">
        <f>$B10*'Walgreens National Payments'!M$22</f>
        <v>3459.6048312355342</v>
      </c>
      <c r="P10" s="25">
        <f>$B10*'Walgreens National Payments'!N$22</f>
        <v>3459.6048312355342</v>
      </c>
      <c r="Q10" s="25">
        <f>$B10*'Walgreens National Payments'!O$22</f>
        <v>3459.6048312355342</v>
      </c>
      <c r="R10" s="25">
        <f>$B10*'Walgreens National Payments'!P$22</f>
        <v>3459.6048312355342</v>
      </c>
      <c r="S10" s="25">
        <f>$B10*'Walgreens National Payments'!Q$22</f>
        <v>3459.6048312355342</v>
      </c>
      <c r="T10" s="26" t="s">
        <v>346</v>
      </c>
      <c r="U10" s="26">
        <f t="shared" si="0"/>
        <v>43977.600268672584</v>
      </c>
    </row>
    <row r="11" spans="1:21" x14ac:dyDescent="0.35">
      <c r="A11" s="3" t="s">
        <v>24</v>
      </c>
      <c r="B11" s="16">
        <v>4.6474904547300034E-5</v>
      </c>
      <c r="C11" s="8" t="s">
        <v>25</v>
      </c>
      <c r="D11" s="8" t="s">
        <v>337</v>
      </c>
      <c r="E11" s="25">
        <v>0</v>
      </c>
      <c r="F11" s="25">
        <v>0</v>
      </c>
      <c r="G11" s="25">
        <f>$B11*'Walgreens National Payments'!E$22</f>
        <v>165.25736795730845</v>
      </c>
      <c r="H11" s="25">
        <f>$B11*'Walgreens National Payments'!F$22</f>
        <v>165.25736795730845</v>
      </c>
      <c r="I11" s="25">
        <f>$B11*'Walgreens National Payments'!G$22</f>
        <v>165.25736795730845</v>
      </c>
      <c r="J11" s="25">
        <f>$B11*'Walgreens National Payments'!H$22</f>
        <v>165.25736795730845</v>
      </c>
      <c r="K11" s="25">
        <f>$B11*'Walgreens National Payments'!I$22</f>
        <v>165.25736795730845</v>
      </c>
      <c r="L11" s="25">
        <f>$B11*'Walgreens National Payments'!J$22</f>
        <v>250.36460783987908</v>
      </c>
      <c r="M11" s="25">
        <f>$B11*'Walgreens National Payments'!K$22</f>
        <v>250.36460783987908</v>
      </c>
      <c r="N11" s="25">
        <f>$B11*'Walgreens National Payments'!L$22</f>
        <v>250.36460783987908</v>
      </c>
      <c r="O11" s="25">
        <f>$B11*'Walgreens National Payments'!M$22</f>
        <v>250.36460783987908</v>
      </c>
      <c r="P11" s="25">
        <f>$B11*'Walgreens National Payments'!N$22</f>
        <v>250.36460783987908</v>
      </c>
      <c r="Q11" s="25">
        <f>$B11*'Walgreens National Payments'!O$22</f>
        <v>250.36460783987908</v>
      </c>
      <c r="R11" s="25">
        <f>$B11*'Walgreens National Payments'!P$22</f>
        <v>250.36460783987908</v>
      </c>
      <c r="S11" s="25">
        <f>$B11*'Walgreens National Payments'!Q$22</f>
        <v>250.36460783987908</v>
      </c>
      <c r="T11" s="26" t="s">
        <v>346</v>
      </c>
      <c r="U11" s="26">
        <f t="shared" si="0"/>
        <v>2829.2037025055752</v>
      </c>
    </row>
    <row r="12" spans="1:21" x14ac:dyDescent="0.35">
      <c r="A12" s="3" t="s">
        <v>26</v>
      </c>
      <c r="B12" s="16">
        <v>3.5525680747200005E-3</v>
      </c>
      <c r="C12" s="8" t="s">
        <v>26</v>
      </c>
      <c r="D12" s="33" t="str">
        <f t="shared" si="1"/>
        <v>No</v>
      </c>
      <c r="E12" s="25">
        <v>17370.78</v>
      </c>
      <c r="F12" s="25">
        <v>9640.74</v>
      </c>
      <c r="G12" s="25">
        <f>$B12*'Walgreens National Payments'!E$22</f>
        <v>12632.366978180204</v>
      </c>
      <c r="H12" s="25">
        <f>$B12*'Walgreens National Payments'!F$22</f>
        <v>12632.366978180204</v>
      </c>
      <c r="I12" s="25">
        <f>$B12*'Walgreens National Payments'!G$22</f>
        <v>12632.366978180204</v>
      </c>
      <c r="J12" s="25">
        <f>$B12*'Walgreens National Payments'!H$22</f>
        <v>12632.366978180204</v>
      </c>
      <c r="K12" s="25">
        <f>$B12*'Walgreens National Payments'!I$22</f>
        <v>12632.366978180204</v>
      </c>
      <c r="L12" s="25">
        <f>$B12*'Walgreens National Payments'!J$22</f>
        <v>19138.012686965685</v>
      </c>
      <c r="M12" s="25">
        <f>$B12*'Walgreens National Payments'!K$22</f>
        <v>19138.012686965685</v>
      </c>
      <c r="N12" s="25">
        <f>$B12*'Walgreens National Payments'!L$22</f>
        <v>19138.012686965685</v>
      </c>
      <c r="O12" s="25">
        <f>$B12*'Walgreens National Payments'!M$22</f>
        <v>19138.012686965685</v>
      </c>
      <c r="P12" s="25">
        <f>$B12*'Walgreens National Payments'!N$22</f>
        <v>19138.012686965685</v>
      </c>
      <c r="Q12" s="25">
        <f>$B12*'Walgreens National Payments'!O$22</f>
        <v>19138.012686965685</v>
      </c>
      <c r="R12" s="25">
        <f>$B12*'Walgreens National Payments'!P$22</f>
        <v>19138.012686965685</v>
      </c>
      <c r="S12" s="25">
        <f>$B12*'Walgreens National Payments'!Q$22</f>
        <v>19138.012686965685</v>
      </c>
      <c r="T12" s="26" t="s">
        <v>346</v>
      </c>
      <c r="U12" s="26">
        <f t="shared" si="0"/>
        <v>243277.45638662655</v>
      </c>
    </row>
    <row r="13" spans="1:21" x14ac:dyDescent="0.35">
      <c r="A13" s="3" t="s">
        <v>14</v>
      </c>
      <c r="B13" s="16">
        <v>1.5193823261242404E-5</v>
      </c>
      <c r="C13" s="8" t="s">
        <v>27</v>
      </c>
      <c r="D13" s="33" t="str">
        <f t="shared" si="1"/>
        <v>Yes</v>
      </c>
      <c r="E13" s="25">
        <v>1099.73</v>
      </c>
      <c r="F13" s="48">
        <v>0</v>
      </c>
      <c r="G13" s="100">
        <f>$B13*'Walgreens National Payments'!E$22</f>
        <v>54.026818684608116</v>
      </c>
      <c r="H13" s="100">
        <f>$B13*'Walgreens National Payments'!F$22</f>
        <v>54.026818684608116</v>
      </c>
      <c r="I13" s="100">
        <f>$B13*'Walgreens National Payments'!G$22</f>
        <v>54.026818684608116</v>
      </c>
      <c r="J13" s="100">
        <f>$B13*'Walgreens National Payments'!H$22</f>
        <v>54.026818684608116</v>
      </c>
      <c r="K13" s="100">
        <f>$B13*'Walgreens National Payments'!I$22</f>
        <v>54.026818684608116</v>
      </c>
      <c r="L13" s="100">
        <f>$B13*'Walgreens National Payments'!J$22</f>
        <v>81.850530720678606</v>
      </c>
      <c r="M13" s="100">
        <f>$B13*'Walgreens National Payments'!K$22</f>
        <v>81.850530720678606</v>
      </c>
      <c r="N13" s="100">
        <f>$B13*'Walgreens National Payments'!L$22</f>
        <v>81.850530720678606</v>
      </c>
      <c r="O13" s="100">
        <f>$B13*'Walgreens National Payments'!M$22</f>
        <v>81.850530720678606</v>
      </c>
      <c r="P13" s="100">
        <f>$B13*'Walgreens National Payments'!N$22</f>
        <v>81.850530720678606</v>
      </c>
      <c r="Q13" s="100">
        <f>$B13*'Walgreens National Payments'!O$22</f>
        <v>81.850530720678606</v>
      </c>
      <c r="R13" s="100">
        <f>$B13*'Walgreens National Payments'!P$22</f>
        <v>81.850530720678606</v>
      </c>
      <c r="S13" s="100">
        <f>$B13*'Walgreens National Payments'!Q$22</f>
        <v>81.850530720678606</v>
      </c>
      <c r="T13" s="26" t="s">
        <v>346</v>
      </c>
      <c r="U13" s="26">
        <f t="shared" si="0"/>
        <v>2024.6683391884687</v>
      </c>
    </row>
    <row r="14" spans="1:21" x14ac:dyDescent="0.35">
      <c r="A14" s="3" t="s">
        <v>28</v>
      </c>
      <c r="B14" s="16">
        <v>2.7679777928632894E-3</v>
      </c>
      <c r="C14" s="8" t="s">
        <v>29</v>
      </c>
      <c r="D14" s="33" t="str">
        <f t="shared" si="1"/>
        <v>No</v>
      </c>
      <c r="E14" s="25">
        <v>13534.42</v>
      </c>
      <c r="F14" s="25">
        <v>7511.56</v>
      </c>
      <c r="G14" s="25">
        <f>$B14*'Walgreens National Payments'!E$22</f>
        <v>9842.4887381386015</v>
      </c>
      <c r="H14" s="25">
        <f>$B14*'Walgreens National Payments'!F$22</f>
        <v>9842.4887381386015</v>
      </c>
      <c r="I14" s="25">
        <f>$B14*'Walgreens National Payments'!G$22</f>
        <v>9842.4887381386015</v>
      </c>
      <c r="J14" s="25">
        <f>$B14*'Walgreens National Payments'!H$22</f>
        <v>9842.4887381386015</v>
      </c>
      <c r="K14" s="25">
        <f>$B14*'Walgreens National Payments'!I$22</f>
        <v>9842.4887381386015</v>
      </c>
      <c r="L14" s="25">
        <f>$B14*'Walgreens National Payments'!J$22</f>
        <v>14911.352295826751</v>
      </c>
      <c r="M14" s="25">
        <f>$B14*'Walgreens National Payments'!K$22</f>
        <v>14911.352295826751</v>
      </c>
      <c r="N14" s="25">
        <f>$B14*'Walgreens National Payments'!L$22</f>
        <v>14911.352295826751</v>
      </c>
      <c r="O14" s="25">
        <f>$B14*'Walgreens National Payments'!M$22</f>
        <v>14911.352295826751</v>
      </c>
      <c r="P14" s="25">
        <f>$B14*'Walgreens National Payments'!N$22</f>
        <v>14911.352295826751</v>
      </c>
      <c r="Q14" s="25">
        <f>$B14*'Walgreens National Payments'!O$22</f>
        <v>14911.352295826751</v>
      </c>
      <c r="R14" s="25">
        <f>$B14*'Walgreens National Payments'!P$22</f>
        <v>14911.352295826751</v>
      </c>
      <c r="S14" s="25">
        <f>$B14*'Walgreens National Payments'!Q$22</f>
        <v>14911.352295826751</v>
      </c>
      <c r="T14" s="26" t="s">
        <v>346</v>
      </c>
      <c r="U14" s="26">
        <f t="shared" si="0"/>
        <v>189549.24205730701</v>
      </c>
    </row>
    <row r="15" spans="1:21" x14ac:dyDescent="0.35">
      <c r="A15" s="3" t="s">
        <v>30</v>
      </c>
      <c r="B15" s="16">
        <v>2.6667265464000002E-3</v>
      </c>
      <c r="C15" s="8" t="s">
        <v>30</v>
      </c>
      <c r="D15" s="33" t="str">
        <f t="shared" si="1"/>
        <v>No</v>
      </c>
      <c r="E15" s="25">
        <v>13039.34</v>
      </c>
      <c r="F15" s="25">
        <v>7236.8</v>
      </c>
      <c r="G15" s="25">
        <f>$B15*'Walgreens National Payments'!E$22</f>
        <v>9482.4554114237453</v>
      </c>
      <c r="H15" s="25">
        <f>$B15*'Walgreens National Payments'!F$22</f>
        <v>9482.4554114237453</v>
      </c>
      <c r="I15" s="25">
        <f>$B15*'Walgreens National Payments'!G$22</f>
        <v>9482.4554114237453</v>
      </c>
      <c r="J15" s="25">
        <f>$B15*'Walgreens National Payments'!H$22</f>
        <v>9482.4554114237453</v>
      </c>
      <c r="K15" s="25">
        <f>$B15*'Walgreens National Payments'!I$22</f>
        <v>9482.4554114237453</v>
      </c>
      <c r="L15" s="25">
        <f>$B15*'Walgreens National Payments'!J$22</f>
        <v>14365.90246949563</v>
      </c>
      <c r="M15" s="25">
        <f>$B15*'Walgreens National Payments'!K$22</f>
        <v>14365.90246949563</v>
      </c>
      <c r="N15" s="25">
        <f>$B15*'Walgreens National Payments'!L$22</f>
        <v>14365.90246949563</v>
      </c>
      <c r="O15" s="25">
        <f>$B15*'Walgreens National Payments'!M$22</f>
        <v>14365.90246949563</v>
      </c>
      <c r="P15" s="25">
        <f>$B15*'Walgreens National Payments'!N$22</f>
        <v>14365.90246949563</v>
      </c>
      <c r="Q15" s="25">
        <f>$B15*'Walgreens National Payments'!O$22</f>
        <v>14365.90246949563</v>
      </c>
      <c r="R15" s="25">
        <f>$B15*'Walgreens National Payments'!P$22</f>
        <v>14365.90246949563</v>
      </c>
      <c r="S15" s="25">
        <f>$B15*'Walgreens National Payments'!Q$22</f>
        <v>14365.90246949563</v>
      </c>
      <c r="T15" s="26" t="s">
        <v>346</v>
      </c>
      <c r="U15" s="26">
        <f t="shared" si="0"/>
        <v>182615.63681308378</v>
      </c>
    </row>
    <row r="16" spans="1:21" x14ac:dyDescent="0.35">
      <c r="A16" s="3" t="s">
        <v>31</v>
      </c>
      <c r="B16" s="16">
        <v>7.8474941674770205E-6</v>
      </c>
      <c r="C16" s="8" t="s">
        <v>32</v>
      </c>
      <c r="D16" s="8" t="s">
        <v>337</v>
      </c>
      <c r="E16" s="25">
        <v>0</v>
      </c>
      <c r="F16" s="25">
        <v>0</v>
      </c>
      <c r="G16" s="25">
        <f>$B16*'Walgreens National Payments'!E$22</f>
        <v>27.904440984008925</v>
      </c>
      <c r="H16" s="25">
        <f>$B16*'Walgreens National Payments'!F$22</f>
        <v>27.904440984008925</v>
      </c>
      <c r="I16" s="25">
        <f>$B16*'Walgreens National Payments'!G$22</f>
        <v>27.904440984008925</v>
      </c>
      <c r="J16" s="25">
        <f>$B16*'Walgreens National Payments'!H$22</f>
        <v>27.904440984008925</v>
      </c>
      <c r="K16" s="25">
        <f>$B16*'Walgreens National Payments'!I$22</f>
        <v>27.904440984008925</v>
      </c>
      <c r="L16" s="25">
        <f>$B16*'Walgreens National Payments'!J$22</f>
        <v>42.275176655102229</v>
      </c>
      <c r="M16" s="25">
        <f>$B16*'Walgreens National Payments'!K$22</f>
        <v>42.275176655102229</v>
      </c>
      <c r="N16" s="25">
        <f>$B16*'Walgreens National Payments'!L$22</f>
        <v>42.275176655102229</v>
      </c>
      <c r="O16" s="25">
        <f>$B16*'Walgreens National Payments'!M$22</f>
        <v>42.275176655102229</v>
      </c>
      <c r="P16" s="25">
        <f>$B16*'Walgreens National Payments'!N$22</f>
        <v>42.275176655102229</v>
      </c>
      <c r="Q16" s="25">
        <f>$B16*'Walgreens National Payments'!O$22</f>
        <v>42.275176655102229</v>
      </c>
      <c r="R16" s="25">
        <f>$B16*'Walgreens National Payments'!P$22</f>
        <v>42.275176655102229</v>
      </c>
      <c r="S16" s="25">
        <f>$B16*'Walgreens National Payments'!Q$22</f>
        <v>42.275176655102229</v>
      </c>
      <c r="T16" s="26" t="s">
        <v>346</v>
      </c>
      <c r="U16" s="26">
        <f t="shared" si="0"/>
        <v>477.72361816086232</v>
      </c>
    </row>
    <row r="17" spans="1:21" x14ac:dyDescent="0.35">
      <c r="A17" s="3" t="s">
        <v>33</v>
      </c>
      <c r="B17" s="16">
        <v>1.8055048905600002E-3</v>
      </c>
      <c r="C17" s="8" t="s">
        <v>33</v>
      </c>
      <c r="D17" s="33" t="str">
        <f t="shared" si="1"/>
        <v>No</v>
      </c>
      <c r="E17" s="25">
        <v>8828.27</v>
      </c>
      <c r="F17" s="25">
        <v>4899.67</v>
      </c>
      <c r="G17" s="25">
        <f>$B17*'Walgreens National Payments'!E$22</f>
        <v>6420.088195002606</v>
      </c>
      <c r="H17" s="25">
        <f>$B17*'Walgreens National Payments'!F$22</f>
        <v>6420.088195002606</v>
      </c>
      <c r="I17" s="25">
        <f>$B17*'Walgreens National Payments'!G$22</f>
        <v>6420.088195002606</v>
      </c>
      <c r="J17" s="25">
        <f>$B17*'Walgreens National Payments'!H$22</f>
        <v>6420.088195002606</v>
      </c>
      <c r="K17" s="25">
        <f>$B17*'Walgreens National Payments'!I$22</f>
        <v>6420.088195002606</v>
      </c>
      <c r="L17" s="25">
        <f>$B17*'Walgreens National Payments'!J$22</f>
        <v>9726.4217814149179</v>
      </c>
      <c r="M17" s="25">
        <f>$B17*'Walgreens National Payments'!K$22</f>
        <v>9726.4217814149179</v>
      </c>
      <c r="N17" s="25">
        <f>$B17*'Walgreens National Payments'!L$22</f>
        <v>9726.4217814149179</v>
      </c>
      <c r="O17" s="25">
        <f>$B17*'Walgreens National Payments'!M$22</f>
        <v>9726.4217814149179</v>
      </c>
      <c r="P17" s="25">
        <f>$B17*'Walgreens National Payments'!N$22</f>
        <v>9726.4217814149179</v>
      </c>
      <c r="Q17" s="25">
        <f>$B17*'Walgreens National Payments'!O$22</f>
        <v>9726.4217814149179</v>
      </c>
      <c r="R17" s="25">
        <f>$B17*'Walgreens National Payments'!P$22</f>
        <v>9726.4217814149179</v>
      </c>
      <c r="S17" s="25">
        <f>$B17*'Walgreens National Payments'!Q$22</f>
        <v>9726.4217814149179</v>
      </c>
      <c r="T17" s="26" t="s">
        <v>346</v>
      </c>
      <c r="U17" s="26">
        <f t="shared" si="0"/>
        <v>123639.75522633237</v>
      </c>
    </row>
    <row r="18" spans="1:21" x14ac:dyDescent="0.35">
      <c r="A18" s="3" t="s">
        <v>34</v>
      </c>
      <c r="B18" s="16">
        <v>7.0325055618421011E-4</v>
      </c>
      <c r="C18" s="8" t="s">
        <v>35</v>
      </c>
      <c r="D18" s="33" t="str">
        <f t="shared" si="1"/>
        <v>No</v>
      </c>
      <c r="E18" s="25">
        <v>3438.64</v>
      </c>
      <c r="F18" s="25">
        <v>1908.44</v>
      </c>
      <c r="G18" s="25">
        <f>$B18*'Walgreens National Payments'!E$22</f>
        <v>2500.6471139975151</v>
      </c>
      <c r="H18" s="25">
        <f>$B18*'Walgreens National Payments'!F$22</f>
        <v>2500.6471139975151</v>
      </c>
      <c r="I18" s="25">
        <f>$B18*'Walgreens National Payments'!G$22</f>
        <v>2500.6471139975151</v>
      </c>
      <c r="J18" s="25">
        <f>$B18*'Walgreens National Payments'!H$22</f>
        <v>2500.6471139975151</v>
      </c>
      <c r="K18" s="25">
        <f>$B18*'Walgreens National Payments'!I$22</f>
        <v>2500.6471139975151</v>
      </c>
      <c r="L18" s="25">
        <f>$B18*'Walgreens National Payments'!J$22</f>
        <v>3788.4757683158141</v>
      </c>
      <c r="M18" s="25">
        <f>$B18*'Walgreens National Payments'!K$22</f>
        <v>3788.4757683158141</v>
      </c>
      <c r="N18" s="25">
        <f>$B18*'Walgreens National Payments'!L$22</f>
        <v>3788.4757683158141</v>
      </c>
      <c r="O18" s="25">
        <f>$B18*'Walgreens National Payments'!M$22</f>
        <v>3788.4757683158141</v>
      </c>
      <c r="P18" s="25">
        <f>$B18*'Walgreens National Payments'!N$22</f>
        <v>3788.4757683158141</v>
      </c>
      <c r="Q18" s="25">
        <f>$B18*'Walgreens National Payments'!O$22</f>
        <v>3788.4757683158141</v>
      </c>
      <c r="R18" s="25">
        <f>$B18*'Walgreens National Payments'!P$22</f>
        <v>3788.4757683158141</v>
      </c>
      <c r="S18" s="25">
        <f>$B18*'Walgreens National Payments'!Q$22</f>
        <v>3788.4757683158141</v>
      </c>
      <c r="T18" s="26" t="s">
        <v>346</v>
      </c>
      <c r="U18" s="26">
        <f t="shared" si="0"/>
        <v>48158.121716514099</v>
      </c>
    </row>
    <row r="19" spans="1:21" x14ac:dyDescent="0.35">
      <c r="A19" s="3" t="s">
        <v>36</v>
      </c>
      <c r="B19" s="16">
        <v>6.5282391823994206E-5</v>
      </c>
      <c r="C19" s="8" t="s">
        <v>37</v>
      </c>
      <c r="D19" s="8" t="s">
        <v>337</v>
      </c>
      <c r="E19" s="25">
        <v>0</v>
      </c>
      <c r="F19" s="48">
        <v>0</v>
      </c>
      <c r="G19" s="100">
        <f>$B19*'Walgreens National Payments'!E$22</f>
        <v>232.13380106700507</v>
      </c>
      <c r="H19" s="100">
        <f>$B19*'Walgreens National Payments'!F$22</f>
        <v>232.13380106700507</v>
      </c>
      <c r="I19" s="100">
        <f>$B19*'Walgreens National Payments'!G$22</f>
        <v>232.13380106700507</v>
      </c>
      <c r="J19" s="100">
        <f>$B19*'Walgreens National Payments'!H$22</f>
        <v>232.13380106700507</v>
      </c>
      <c r="K19" s="100">
        <f>$B19*'Walgreens National Payments'!I$22</f>
        <v>232.13380106700507</v>
      </c>
      <c r="L19" s="100">
        <f>$B19*'Walgreens National Payments'!J$22</f>
        <v>351.68228072914178</v>
      </c>
      <c r="M19" s="100">
        <f>$B19*'Walgreens National Payments'!K$22</f>
        <v>351.68228072914178</v>
      </c>
      <c r="N19" s="100">
        <f>$B19*'Walgreens National Payments'!L$22</f>
        <v>351.68228072914178</v>
      </c>
      <c r="O19" s="100">
        <f>$B19*'Walgreens National Payments'!M$22</f>
        <v>351.68228072914178</v>
      </c>
      <c r="P19" s="100">
        <f>$B19*'Walgreens National Payments'!N$22</f>
        <v>351.68228072914178</v>
      </c>
      <c r="Q19" s="100">
        <f>$B19*'Walgreens National Payments'!O$22</f>
        <v>351.68228072914178</v>
      </c>
      <c r="R19" s="100">
        <f>$B19*'Walgreens National Payments'!P$22</f>
        <v>351.68228072914178</v>
      </c>
      <c r="S19" s="100">
        <f>$B19*'Walgreens National Payments'!Q$22</f>
        <v>351.68228072914178</v>
      </c>
      <c r="T19" s="26" t="s">
        <v>346</v>
      </c>
      <c r="U19" s="26">
        <f t="shared" si="0"/>
        <v>3974.1272511681605</v>
      </c>
    </row>
    <row r="20" spans="1:21" x14ac:dyDescent="0.35">
      <c r="A20" s="3" t="s">
        <v>38</v>
      </c>
      <c r="B20" s="16">
        <v>8.3004606496000003E-4</v>
      </c>
      <c r="C20" s="8" t="s">
        <v>38</v>
      </c>
      <c r="D20" s="33" t="str">
        <f t="shared" si="1"/>
        <v>No</v>
      </c>
      <c r="E20" s="25">
        <v>4058.63</v>
      </c>
      <c r="F20" s="25">
        <v>2252.5300000000002</v>
      </c>
      <c r="G20" s="25">
        <f>$B20*'Walgreens National Payments'!E$22</f>
        <v>2951.5117742523616</v>
      </c>
      <c r="H20" s="25">
        <f>$B20*'Walgreens National Payments'!F$22</f>
        <v>2951.5117742523616</v>
      </c>
      <c r="I20" s="25">
        <f>$B20*'Walgreens National Payments'!G$22</f>
        <v>2951.5117742523616</v>
      </c>
      <c r="J20" s="25">
        <f>$B20*'Walgreens National Payments'!H$22</f>
        <v>2951.5117742523616</v>
      </c>
      <c r="K20" s="25">
        <f>$B20*'Walgreens National Payments'!I$22</f>
        <v>2951.5117742523616</v>
      </c>
      <c r="L20" s="25">
        <f>$B20*'Walgreens National Payments'!J$22</f>
        <v>4471.5348975325269</v>
      </c>
      <c r="M20" s="25">
        <f>$B20*'Walgreens National Payments'!K$22</f>
        <v>4471.5348975325269</v>
      </c>
      <c r="N20" s="25">
        <f>$B20*'Walgreens National Payments'!L$22</f>
        <v>4471.5348975325269</v>
      </c>
      <c r="O20" s="25">
        <f>$B20*'Walgreens National Payments'!M$22</f>
        <v>4471.5348975325269</v>
      </c>
      <c r="P20" s="25">
        <f>$B20*'Walgreens National Payments'!N$22</f>
        <v>4471.5348975325269</v>
      </c>
      <c r="Q20" s="25">
        <f>$B20*'Walgreens National Payments'!O$22</f>
        <v>4471.5348975325269</v>
      </c>
      <c r="R20" s="25">
        <f>$B20*'Walgreens National Payments'!P$22</f>
        <v>4471.5348975325269</v>
      </c>
      <c r="S20" s="25">
        <f>$B20*'Walgreens National Payments'!Q$22</f>
        <v>4471.5348975325269</v>
      </c>
      <c r="T20" s="26" t="s">
        <v>346</v>
      </c>
      <c r="U20" s="26">
        <f t="shared" si="0"/>
        <v>56840.998051522009</v>
      </c>
    </row>
    <row r="21" spans="1:21" x14ac:dyDescent="0.35">
      <c r="A21" s="3" t="s">
        <v>39</v>
      </c>
      <c r="B21" s="16">
        <v>2.5871914761609301E-3</v>
      </c>
      <c r="C21" s="8" t="s">
        <v>39</v>
      </c>
      <c r="D21" s="33" t="str">
        <f t="shared" si="1"/>
        <v>No</v>
      </c>
      <c r="E21" s="25">
        <v>12650.44</v>
      </c>
      <c r="F21" s="25">
        <v>7020.96</v>
      </c>
      <c r="G21" s="25">
        <f>$B21*'Walgreens National Payments'!E$22</f>
        <v>9199.6413530402297</v>
      </c>
      <c r="H21" s="25">
        <f>$B21*'Walgreens National Payments'!F$22</f>
        <v>9199.6413530402297</v>
      </c>
      <c r="I21" s="25">
        <f>$B21*'Walgreens National Payments'!G$22</f>
        <v>9199.6413530402297</v>
      </c>
      <c r="J21" s="25">
        <f>$B21*'Walgreens National Payments'!H$22</f>
        <v>9199.6413530402297</v>
      </c>
      <c r="K21" s="25">
        <f>$B21*'Walgreens National Payments'!I$22</f>
        <v>9199.6413530402297</v>
      </c>
      <c r="L21" s="25">
        <f>$B21*'Walgreens National Payments'!J$22</f>
        <v>13937.439692349832</v>
      </c>
      <c r="M21" s="25">
        <f>$B21*'Walgreens National Payments'!K$22</f>
        <v>13937.439692349832</v>
      </c>
      <c r="N21" s="25">
        <f>$B21*'Walgreens National Payments'!L$22</f>
        <v>13937.439692349832</v>
      </c>
      <c r="O21" s="25">
        <f>$B21*'Walgreens National Payments'!M$22</f>
        <v>13937.439692349832</v>
      </c>
      <c r="P21" s="25">
        <f>$B21*'Walgreens National Payments'!N$22</f>
        <v>13937.439692349832</v>
      </c>
      <c r="Q21" s="25">
        <f>$B21*'Walgreens National Payments'!O$22</f>
        <v>13937.439692349832</v>
      </c>
      <c r="R21" s="25">
        <f>$B21*'Walgreens National Payments'!P$22</f>
        <v>13937.439692349832</v>
      </c>
      <c r="S21" s="25">
        <f>$B21*'Walgreens National Payments'!Q$22</f>
        <v>13937.439692349832</v>
      </c>
      <c r="T21" s="26" t="s">
        <v>346</v>
      </c>
      <c r="U21" s="26">
        <f t="shared" si="0"/>
        <v>177169.12430399982</v>
      </c>
    </row>
    <row r="22" spans="1:21" x14ac:dyDescent="0.35">
      <c r="A22" s="3" t="s">
        <v>40</v>
      </c>
      <c r="B22" s="16">
        <v>3.2146033236360054E-4</v>
      </c>
      <c r="C22" s="8" t="s">
        <v>41</v>
      </c>
      <c r="D22" s="33" t="str">
        <f t="shared" si="1"/>
        <v>No</v>
      </c>
      <c r="E22" s="25">
        <v>1571.83</v>
      </c>
      <c r="F22" s="25">
        <v>872.36</v>
      </c>
      <c r="G22" s="25">
        <f>$B22*'Walgreens National Payments'!E$22</f>
        <v>1143.0618082286396</v>
      </c>
      <c r="H22" s="25">
        <f>$B22*'Walgreens National Payments'!F$22</f>
        <v>1143.0618082286396</v>
      </c>
      <c r="I22" s="25">
        <f>$B22*'Walgreens National Payments'!G$22</f>
        <v>1143.0618082286396</v>
      </c>
      <c r="J22" s="25">
        <f>$B22*'Walgreens National Payments'!H$22</f>
        <v>1143.0618082286396</v>
      </c>
      <c r="K22" s="25">
        <f>$B22*'Walgreens National Payments'!I$22</f>
        <v>1143.0618082286396</v>
      </c>
      <c r="L22" s="25">
        <f>$B22*'Walgreens National Payments'!J$22</f>
        <v>1731.7365324845121</v>
      </c>
      <c r="M22" s="25">
        <f>$B22*'Walgreens National Payments'!K$22</f>
        <v>1731.7365324845121</v>
      </c>
      <c r="N22" s="25">
        <f>$B22*'Walgreens National Payments'!L$22</f>
        <v>1731.7365324845121</v>
      </c>
      <c r="O22" s="25">
        <f>$B22*'Walgreens National Payments'!M$22</f>
        <v>1731.7365324845121</v>
      </c>
      <c r="P22" s="25">
        <f>$B22*'Walgreens National Payments'!N$22</f>
        <v>1731.7365324845121</v>
      </c>
      <c r="Q22" s="25">
        <f>$B22*'Walgreens National Payments'!O$22</f>
        <v>1731.7365324845121</v>
      </c>
      <c r="R22" s="25">
        <f>$B22*'Walgreens National Payments'!P$22</f>
        <v>1731.7365324845121</v>
      </c>
      <c r="S22" s="25">
        <f>$B22*'Walgreens National Payments'!Q$22</f>
        <v>1731.7365324845121</v>
      </c>
      <c r="T22" s="26" t="s">
        <v>346</v>
      </c>
      <c r="U22" s="26">
        <f t="shared" si="0"/>
        <v>22013.391301019295</v>
      </c>
    </row>
    <row r="23" spans="1:21" x14ac:dyDescent="0.35">
      <c r="A23" s="3" t="s">
        <v>42</v>
      </c>
      <c r="B23" s="16">
        <v>2.0458170565343893E-3</v>
      </c>
      <c r="C23" s="8" t="s">
        <v>43</v>
      </c>
      <c r="D23" s="33" t="str">
        <f t="shared" si="1"/>
        <v>No</v>
      </c>
      <c r="E23" s="25">
        <v>10003.31</v>
      </c>
      <c r="F23" s="25">
        <v>5551.81</v>
      </c>
      <c r="G23" s="25">
        <f>$B23*'Walgreens National Payments'!E$22</f>
        <v>7274.6000315278197</v>
      </c>
      <c r="H23" s="25">
        <f>$B23*'Walgreens National Payments'!F$22</f>
        <v>7274.6000315278197</v>
      </c>
      <c r="I23" s="25">
        <f>$B23*'Walgreens National Payments'!G$22</f>
        <v>7274.6000315278197</v>
      </c>
      <c r="J23" s="25">
        <f>$B23*'Walgreens National Payments'!H$22</f>
        <v>7274.6000315278197</v>
      </c>
      <c r="K23" s="25">
        <f>$B23*'Walgreens National Payments'!I$22</f>
        <v>7274.6000315278197</v>
      </c>
      <c r="L23" s="25">
        <f>$B23*'Walgreens National Payments'!J$22</f>
        <v>11021.005638646857</v>
      </c>
      <c r="M23" s="25">
        <f>$B23*'Walgreens National Payments'!K$22</f>
        <v>11021.005638646857</v>
      </c>
      <c r="N23" s="25">
        <f>$B23*'Walgreens National Payments'!L$22</f>
        <v>11021.005638646857</v>
      </c>
      <c r="O23" s="25">
        <f>$B23*'Walgreens National Payments'!M$22</f>
        <v>11021.005638646857</v>
      </c>
      <c r="P23" s="25">
        <f>$B23*'Walgreens National Payments'!N$22</f>
        <v>11021.005638646857</v>
      </c>
      <c r="Q23" s="25">
        <f>$B23*'Walgreens National Payments'!O$22</f>
        <v>11021.005638646857</v>
      </c>
      <c r="R23" s="25">
        <f>$B23*'Walgreens National Payments'!P$22</f>
        <v>11021.005638646857</v>
      </c>
      <c r="S23" s="25">
        <f>$B23*'Walgreens National Payments'!Q$22</f>
        <v>11021.005638646857</v>
      </c>
      <c r="T23" s="26" t="s">
        <v>346</v>
      </c>
      <c r="U23" s="26">
        <f t="shared" si="0"/>
        <v>140096.165266814</v>
      </c>
    </row>
    <row r="24" spans="1:21" x14ac:dyDescent="0.35">
      <c r="A24" s="3" t="s">
        <v>36</v>
      </c>
      <c r="B24" s="16">
        <v>6.8586365358145425E-4</v>
      </c>
      <c r="C24" s="8" t="s">
        <v>44</v>
      </c>
      <c r="D24" s="33" t="str">
        <f t="shared" si="1"/>
        <v>No</v>
      </c>
      <c r="E24" s="25">
        <v>3353.63</v>
      </c>
      <c r="F24" s="25">
        <v>1861.25</v>
      </c>
      <c r="G24" s="25">
        <f>$B24*'Walgreens National Payments'!E$22</f>
        <v>2438.8220540205293</v>
      </c>
      <c r="H24" s="25">
        <f>$B24*'Walgreens National Payments'!F$22</f>
        <v>2438.8220540205293</v>
      </c>
      <c r="I24" s="25">
        <f>$B24*'Walgreens National Payments'!G$22</f>
        <v>2438.8220540205293</v>
      </c>
      <c r="J24" s="25">
        <f>$B24*'Walgreens National Payments'!H$22</f>
        <v>2438.8220540205293</v>
      </c>
      <c r="K24" s="25">
        <f>$B24*'Walgreens National Payments'!I$22</f>
        <v>2438.8220540205293</v>
      </c>
      <c r="L24" s="25">
        <f>$B24*'Walgreens National Payments'!J$22</f>
        <v>3694.8109164115181</v>
      </c>
      <c r="M24" s="25">
        <f>$B24*'Walgreens National Payments'!K$22</f>
        <v>3694.8109164115181</v>
      </c>
      <c r="N24" s="25">
        <f>$B24*'Walgreens National Payments'!L$22</f>
        <v>3694.8109164115181</v>
      </c>
      <c r="O24" s="25">
        <f>$B24*'Walgreens National Payments'!M$22</f>
        <v>3694.8109164115181</v>
      </c>
      <c r="P24" s="25">
        <f>$B24*'Walgreens National Payments'!N$22</f>
        <v>3694.8109164115181</v>
      </c>
      <c r="Q24" s="25">
        <f>$B24*'Walgreens National Payments'!O$22</f>
        <v>3694.8109164115181</v>
      </c>
      <c r="R24" s="25">
        <f>$B24*'Walgreens National Payments'!P$22</f>
        <v>3694.8109164115181</v>
      </c>
      <c r="S24" s="25">
        <f>$B24*'Walgreens National Payments'!Q$22</f>
        <v>3694.8109164115181</v>
      </c>
      <c r="T24" s="26" t="s">
        <v>346</v>
      </c>
      <c r="U24" s="26">
        <f t="shared" si="0"/>
        <v>46967.477601394792</v>
      </c>
    </row>
    <row r="25" spans="1:21" x14ac:dyDescent="0.35">
      <c r="A25" s="3" t="s">
        <v>36</v>
      </c>
      <c r="B25" s="16">
        <v>1.2330105690560002E-2</v>
      </c>
      <c r="C25" s="8" t="s">
        <v>36</v>
      </c>
      <c r="D25" s="33" t="str">
        <f t="shared" si="1"/>
        <v>No</v>
      </c>
      <c r="E25" s="25">
        <v>66925.490000000005</v>
      </c>
      <c r="F25" s="25">
        <v>33460.67</v>
      </c>
      <c r="G25" s="25">
        <f>$B25*'Walgreens National Payments'!E$22</f>
        <v>43843.894525561838</v>
      </c>
      <c r="H25" s="25">
        <f>$B25*'Walgreens National Payments'!F$22</f>
        <v>43843.894525561838</v>
      </c>
      <c r="I25" s="25">
        <f>$B25*'Walgreens National Payments'!G$22</f>
        <v>43843.894525561838</v>
      </c>
      <c r="J25" s="25">
        <f>$B25*'Walgreens National Payments'!H$22</f>
        <v>43843.894525561838</v>
      </c>
      <c r="K25" s="25">
        <f>$B25*'Walgreens National Payments'!I$22</f>
        <v>43843.894525561838</v>
      </c>
      <c r="L25" s="25">
        <f>$B25*'Walgreens National Payments'!J$22</f>
        <v>66423.419389694202</v>
      </c>
      <c r="M25" s="25">
        <f>$B25*'Walgreens National Payments'!K$22</f>
        <v>66423.419389694202</v>
      </c>
      <c r="N25" s="25">
        <f>$B25*'Walgreens National Payments'!L$22</f>
        <v>66423.419389694202</v>
      </c>
      <c r="O25" s="25">
        <f>$B25*'Walgreens National Payments'!M$22</f>
        <v>66423.419389694202</v>
      </c>
      <c r="P25" s="25">
        <f>$B25*'Walgreens National Payments'!N$22</f>
        <v>66423.419389694202</v>
      </c>
      <c r="Q25" s="25">
        <f>$B25*'Walgreens National Payments'!O$22</f>
        <v>66423.419389694202</v>
      </c>
      <c r="R25" s="25">
        <f>$B25*'Walgreens National Payments'!P$22</f>
        <v>66423.419389694202</v>
      </c>
      <c r="S25" s="25">
        <f>$B25*'Walgreens National Payments'!Q$22</f>
        <v>66423.419389694202</v>
      </c>
      <c r="T25" s="26" t="s">
        <v>346</v>
      </c>
      <c r="U25" s="26">
        <f t="shared" si="0"/>
        <v>850992.98774536303</v>
      </c>
    </row>
    <row r="26" spans="1:21" x14ac:dyDescent="0.35">
      <c r="A26" s="3" t="s">
        <v>45</v>
      </c>
      <c r="B26" s="16">
        <v>2.465424421072565E-4</v>
      </c>
      <c r="C26" s="8" t="s">
        <v>46</v>
      </c>
      <c r="D26" s="33" t="str">
        <f t="shared" si="1"/>
        <v>No</v>
      </c>
      <c r="E26" s="25">
        <v>1205.5</v>
      </c>
      <c r="F26" s="25">
        <v>669.05</v>
      </c>
      <c r="G26" s="25">
        <f>$B26*'Walgreens National Payments'!E$22</f>
        <v>876.66570742379872</v>
      </c>
      <c r="H26" s="25">
        <f>$B26*'Walgreens National Payments'!F$22</f>
        <v>876.66570742379872</v>
      </c>
      <c r="I26" s="25">
        <f>$B26*'Walgreens National Payments'!G$22</f>
        <v>876.66570742379872</v>
      </c>
      <c r="J26" s="25">
        <f>$B26*'Walgreens National Payments'!H$22</f>
        <v>876.66570742379872</v>
      </c>
      <c r="K26" s="25">
        <f>$B26*'Walgreens National Payments'!I$22</f>
        <v>876.66570742379872</v>
      </c>
      <c r="L26" s="25">
        <f>$B26*'Walgreens National Payments'!J$22</f>
        <v>1328.146930807528</v>
      </c>
      <c r="M26" s="25">
        <f>$B26*'Walgreens National Payments'!K$22</f>
        <v>1328.146930807528</v>
      </c>
      <c r="N26" s="25">
        <f>$B26*'Walgreens National Payments'!L$22</f>
        <v>1328.146930807528</v>
      </c>
      <c r="O26" s="25">
        <f>$B26*'Walgreens National Payments'!M$22</f>
        <v>1328.146930807528</v>
      </c>
      <c r="P26" s="25">
        <f>$B26*'Walgreens National Payments'!N$22</f>
        <v>1328.146930807528</v>
      </c>
      <c r="Q26" s="25">
        <f>$B26*'Walgreens National Payments'!O$22</f>
        <v>1328.146930807528</v>
      </c>
      <c r="R26" s="25">
        <f>$B26*'Walgreens National Payments'!P$22</f>
        <v>1328.146930807528</v>
      </c>
      <c r="S26" s="25">
        <f>$B26*'Walgreens National Payments'!Q$22</f>
        <v>1328.146930807528</v>
      </c>
      <c r="T26" s="26" t="s">
        <v>346</v>
      </c>
      <c r="U26" s="26">
        <f t="shared" si="0"/>
        <v>16883.053983579219</v>
      </c>
    </row>
    <row r="27" spans="1:21" x14ac:dyDescent="0.35">
      <c r="A27" s="3" t="s">
        <v>47</v>
      </c>
      <c r="B27" s="16">
        <v>5.4211718464369893E-4</v>
      </c>
      <c r="C27" s="8" t="s">
        <v>48</v>
      </c>
      <c r="D27" s="33" t="str">
        <f t="shared" si="1"/>
        <v>No</v>
      </c>
      <c r="E27" s="25">
        <v>2650.76</v>
      </c>
      <c r="F27" s="25">
        <v>1471.16</v>
      </c>
      <c r="G27" s="25">
        <f>$B27*'Walgreens National Payments'!E$22</f>
        <v>1927.682475764193</v>
      </c>
      <c r="H27" s="25">
        <f>$B27*'Walgreens National Payments'!F$22</f>
        <v>1927.682475764193</v>
      </c>
      <c r="I27" s="25">
        <f>$B27*'Walgreens National Payments'!G$22</f>
        <v>1927.682475764193</v>
      </c>
      <c r="J27" s="25">
        <f>$B27*'Walgreens National Payments'!H$22</f>
        <v>1927.682475764193</v>
      </c>
      <c r="K27" s="25">
        <f>$B27*'Walgreens National Payments'!I$22</f>
        <v>1927.682475764193</v>
      </c>
      <c r="L27" s="25">
        <f>$B27*'Walgreens National Payments'!J$22</f>
        <v>2920.4353975260415</v>
      </c>
      <c r="M27" s="25">
        <f>$B27*'Walgreens National Payments'!K$22</f>
        <v>2920.4353975260415</v>
      </c>
      <c r="N27" s="25">
        <f>$B27*'Walgreens National Payments'!L$22</f>
        <v>2920.4353975260415</v>
      </c>
      <c r="O27" s="25">
        <f>$B27*'Walgreens National Payments'!M$22</f>
        <v>2920.4353975260415</v>
      </c>
      <c r="P27" s="25">
        <f>$B27*'Walgreens National Payments'!N$22</f>
        <v>2920.4353975260415</v>
      </c>
      <c r="Q27" s="25">
        <f>$B27*'Walgreens National Payments'!O$22</f>
        <v>2920.4353975260415</v>
      </c>
      <c r="R27" s="25">
        <f>$B27*'Walgreens National Payments'!P$22</f>
        <v>2920.4353975260415</v>
      </c>
      <c r="S27" s="25">
        <f>$B27*'Walgreens National Payments'!Q$22</f>
        <v>2920.4353975260415</v>
      </c>
      <c r="T27" s="26" t="s">
        <v>346</v>
      </c>
      <c r="U27" s="26">
        <f t="shared" si="0"/>
        <v>37123.815559029295</v>
      </c>
    </row>
    <row r="28" spans="1:21" x14ac:dyDescent="0.35">
      <c r="A28" s="3" t="s">
        <v>49</v>
      </c>
      <c r="B28" s="16">
        <v>1.5597090017600002E-3</v>
      </c>
      <c r="C28" s="8" t="s">
        <v>49</v>
      </c>
      <c r="D28" s="33" t="str">
        <f t="shared" si="1"/>
        <v>No</v>
      </c>
      <c r="E28" s="25">
        <v>7626.42</v>
      </c>
      <c r="F28" s="25">
        <v>4232.6400000000003</v>
      </c>
      <c r="G28" s="25">
        <f>$B28*'Walgreens National Payments'!E$22</f>
        <v>5546.0771123875884</v>
      </c>
      <c r="H28" s="25">
        <f>$B28*'Walgreens National Payments'!F$22</f>
        <v>5546.0771123875884</v>
      </c>
      <c r="I28" s="25">
        <f>$B28*'Walgreens National Payments'!G$22</f>
        <v>5546.0771123875884</v>
      </c>
      <c r="J28" s="25">
        <f>$B28*'Walgreens National Payments'!H$22</f>
        <v>5546.0771123875884</v>
      </c>
      <c r="K28" s="25">
        <f>$B28*'Walgreens National Payments'!I$22</f>
        <v>5546.0771123875884</v>
      </c>
      <c r="L28" s="25">
        <f>$B28*'Walgreens National Payments'!J$22</f>
        <v>8402.2966022994806</v>
      </c>
      <c r="M28" s="25">
        <f>$B28*'Walgreens National Payments'!K$22</f>
        <v>8402.2966022994806</v>
      </c>
      <c r="N28" s="25">
        <f>$B28*'Walgreens National Payments'!L$22</f>
        <v>8402.2966022994806</v>
      </c>
      <c r="O28" s="25">
        <f>$B28*'Walgreens National Payments'!M$22</f>
        <v>8402.2966022994806</v>
      </c>
      <c r="P28" s="25">
        <f>$B28*'Walgreens National Payments'!N$22</f>
        <v>8402.2966022994806</v>
      </c>
      <c r="Q28" s="25">
        <f>$B28*'Walgreens National Payments'!O$22</f>
        <v>8402.2966022994806</v>
      </c>
      <c r="R28" s="25">
        <f>$B28*'Walgreens National Payments'!P$22</f>
        <v>8402.2966022994806</v>
      </c>
      <c r="S28" s="25">
        <f>$B28*'Walgreens National Payments'!Q$22</f>
        <v>8402.2966022994806</v>
      </c>
      <c r="T28" s="26" t="s">
        <v>346</v>
      </c>
      <c r="U28" s="26">
        <f t="shared" si="0"/>
        <v>106807.81838033379</v>
      </c>
    </row>
    <row r="29" spans="1:21" x14ac:dyDescent="0.35">
      <c r="A29" s="3" t="s">
        <v>34</v>
      </c>
      <c r="B29" s="16">
        <v>2.1448338308180427E-4</v>
      </c>
      <c r="C29" s="8" t="s">
        <v>50</v>
      </c>
      <c r="D29" s="33" t="str">
        <f t="shared" si="1"/>
        <v>No</v>
      </c>
      <c r="E29" s="25">
        <v>1048.75</v>
      </c>
      <c r="F29" s="25">
        <v>582.04999999999995</v>
      </c>
      <c r="G29" s="25">
        <f>$B29*'Walgreens National Payments'!E$22</f>
        <v>762.66879306021622</v>
      </c>
      <c r="H29" s="25">
        <f>$B29*'Walgreens National Payments'!F$22</f>
        <v>762.66879306021622</v>
      </c>
      <c r="I29" s="25">
        <f>$B29*'Walgreens National Payments'!G$22</f>
        <v>762.66879306021622</v>
      </c>
      <c r="J29" s="25">
        <f>$B29*'Walgreens National Payments'!H$22</f>
        <v>762.66879306021622</v>
      </c>
      <c r="K29" s="25">
        <f>$B29*'Walgreens National Payments'!I$22</f>
        <v>762.66879306021622</v>
      </c>
      <c r="L29" s="25">
        <f>$B29*'Walgreens National Payments'!J$22</f>
        <v>1155.4418156748241</v>
      </c>
      <c r="M29" s="25">
        <f>$B29*'Walgreens National Payments'!K$22</f>
        <v>1155.4418156748241</v>
      </c>
      <c r="N29" s="25">
        <f>$B29*'Walgreens National Payments'!L$22</f>
        <v>1155.4418156748241</v>
      </c>
      <c r="O29" s="25">
        <f>$B29*'Walgreens National Payments'!M$22</f>
        <v>1155.4418156748241</v>
      </c>
      <c r="P29" s="25">
        <f>$B29*'Walgreens National Payments'!N$22</f>
        <v>1155.4418156748241</v>
      </c>
      <c r="Q29" s="25">
        <f>$B29*'Walgreens National Payments'!O$22</f>
        <v>1155.4418156748241</v>
      </c>
      <c r="R29" s="25">
        <f>$B29*'Walgreens National Payments'!P$22</f>
        <v>1155.4418156748241</v>
      </c>
      <c r="S29" s="25">
        <f>$B29*'Walgreens National Payments'!Q$22</f>
        <v>1155.4418156748241</v>
      </c>
      <c r="T29" s="26" t="s">
        <v>346</v>
      </c>
      <c r="U29" s="26">
        <f t="shared" si="0"/>
        <v>14687.678490699671</v>
      </c>
    </row>
    <row r="30" spans="1:21" x14ac:dyDescent="0.35">
      <c r="A30" s="3" t="s">
        <v>47</v>
      </c>
      <c r="B30" s="16">
        <v>1.4353012866080001E-2</v>
      </c>
      <c r="C30" s="8" t="s">
        <v>47</v>
      </c>
      <c r="D30" s="33" t="str">
        <f t="shared" si="1"/>
        <v>No</v>
      </c>
      <c r="E30" s="25">
        <v>70810.28</v>
      </c>
      <c r="F30" s="25">
        <v>39299.509999999995</v>
      </c>
      <c r="G30" s="25">
        <f>$B30*'Walgreens National Payments'!E$22</f>
        <v>51037.030664403232</v>
      </c>
      <c r="H30" s="25">
        <f>$B30*'Walgreens National Payments'!F$22</f>
        <v>51037.030664403232</v>
      </c>
      <c r="I30" s="25">
        <f>$B30*'Walgreens National Payments'!G$22</f>
        <v>51037.030664403232</v>
      </c>
      <c r="J30" s="25">
        <f>$B30*'Walgreens National Payments'!H$22</f>
        <v>51037.030664403232</v>
      </c>
      <c r="K30" s="25">
        <f>$B30*'Walgreens National Payments'!I$22</f>
        <v>51037.030664403232</v>
      </c>
      <c r="L30" s="25">
        <f>$B30*'Walgreens National Payments'!J$22</f>
        <v>77321.007381081814</v>
      </c>
      <c r="M30" s="25">
        <f>$B30*'Walgreens National Payments'!K$22</f>
        <v>77321.007381081814</v>
      </c>
      <c r="N30" s="25">
        <f>$B30*'Walgreens National Payments'!L$22</f>
        <v>77321.007381081814</v>
      </c>
      <c r="O30" s="25">
        <f>$B30*'Walgreens National Payments'!M$22</f>
        <v>77321.007381081814</v>
      </c>
      <c r="P30" s="25">
        <f>$B30*'Walgreens National Payments'!N$22</f>
        <v>77321.007381081814</v>
      </c>
      <c r="Q30" s="25">
        <f>$B30*'Walgreens National Payments'!O$22</f>
        <v>77321.007381081814</v>
      </c>
      <c r="R30" s="25">
        <f>$B30*'Walgreens National Payments'!P$22</f>
        <v>77321.007381081814</v>
      </c>
      <c r="S30" s="25">
        <f>$B30*'Walgreens National Payments'!Q$22</f>
        <v>77321.007381081814</v>
      </c>
      <c r="T30" s="26" t="s">
        <v>346</v>
      </c>
      <c r="U30" s="26">
        <f t="shared" si="0"/>
        <v>983863.00237067067</v>
      </c>
    </row>
    <row r="31" spans="1:21" x14ac:dyDescent="0.35">
      <c r="A31" s="3" t="s">
        <v>34</v>
      </c>
      <c r="B31" s="16">
        <v>2.7489343219674764E-4</v>
      </c>
      <c r="C31" s="8" t="s">
        <v>51</v>
      </c>
      <c r="D31" s="33" t="str">
        <f t="shared" si="1"/>
        <v>No</v>
      </c>
      <c r="E31" s="25">
        <v>1344.13</v>
      </c>
      <c r="F31" s="25">
        <v>745.99</v>
      </c>
      <c r="G31" s="25">
        <f>$B31*'Walgreens National Payments'!E$22</f>
        <v>977.4773184816471</v>
      </c>
      <c r="H31" s="25">
        <f>$B31*'Walgreens National Payments'!F$22</f>
        <v>977.4773184816471</v>
      </c>
      <c r="I31" s="25">
        <f>$B31*'Walgreens National Payments'!G$22</f>
        <v>977.4773184816471</v>
      </c>
      <c r="J31" s="25">
        <f>$B31*'Walgreens National Payments'!H$22</f>
        <v>977.4773184816471</v>
      </c>
      <c r="K31" s="25">
        <f>$B31*'Walgreens National Payments'!I$22</f>
        <v>977.4773184816471</v>
      </c>
      <c r="L31" s="25">
        <f>$B31*'Walgreens National Payments'!J$22</f>
        <v>1480.8763357362384</v>
      </c>
      <c r="M31" s="25">
        <f>$B31*'Walgreens National Payments'!K$22</f>
        <v>1480.8763357362384</v>
      </c>
      <c r="N31" s="25">
        <f>$B31*'Walgreens National Payments'!L$22</f>
        <v>1480.8763357362384</v>
      </c>
      <c r="O31" s="25">
        <f>$B31*'Walgreens National Payments'!M$22</f>
        <v>1480.8763357362384</v>
      </c>
      <c r="P31" s="25">
        <f>$B31*'Walgreens National Payments'!N$22</f>
        <v>1480.8763357362384</v>
      </c>
      <c r="Q31" s="25">
        <f>$B31*'Walgreens National Payments'!O$22</f>
        <v>1480.8763357362384</v>
      </c>
      <c r="R31" s="25">
        <f>$B31*'Walgreens National Payments'!P$22</f>
        <v>1480.8763357362384</v>
      </c>
      <c r="S31" s="25">
        <f>$B31*'Walgreens National Payments'!Q$22</f>
        <v>1480.8763357362384</v>
      </c>
      <c r="T31" s="26" t="s">
        <v>346</v>
      </c>
      <c r="U31" s="26">
        <f t="shared" si="0"/>
        <v>18824.517278298139</v>
      </c>
    </row>
    <row r="32" spans="1:21" x14ac:dyDescent="0.35">
      <c r="A32" s="3" t="s">
        <v>52</v>
      </c>
      <c r="B32" s="16">
        <v>1.4644445099620517E-4</v>
      </c>
      <c r="C32" s="8" t="s">
        <v>53</v>
      </c>
      <c r="D32" s="33" t="str">
        <f t="shared" si="1"/>
        <v>No</v>
      </c>
      <c r="E32" s="25">
        <v>716.06</v>
      </c>
      <c r="F32" s="25">
        <v>397.41</v>
      </c>
      <c r="G32" s="25">
        <f>$B32*'Walgreens National Payments'!E$22</f>
        <v>520.73317329689633</v>
      </c>
      <c r="H32" s="25">
        <f>$B32*'Walgreens National Payments'!F$22</f>
        <v>520.73317329689633</v>
      </c>
      <c r="I32" s="25">
        <f>$B32*'Walgreens National Payments'!G$22</f>
        <v>520.73317329689633</v>
      </c>
      <c r="J32" s="25">
        <f>$B32*'Walgreens National Payments'!H$22</f>
        <v>520.73317329689633</v>
      </c>
      <c r="K32" s="25">
        <f>$B32*'Walgreens National Payments'!I$22</f>
        <v>520.73317329689633</v>
      </c>
      <c r="L32" s="25">
        <f>$B32*'Walgreens National Payments'!J$22</f>
        <v>788.90979768825207</v>
      </c>
      <c r="M32" s="25">
        <f>$B32*'Walgreens National Payments'!K$22</f>
        <v>788.90979768825207</v>
      </c>
      <c r="N32" s="25">
        <f>$B32*'Walgreens National Payments'!L$22</f>
        <v>788.90979768825207</v>
      </c>
      <c r="O32" s="25">
        <f>$B32*'Walgreens National Payments'!M$22</f>
        <v>788.90979768825207</v>
      </c>
      <c r="P32" s="25">
        <f>$B32*'Walgreens National Payments'!N$22</f>
        <v>788.90979768825207</v>
      </c>
      <c r="Q32" s="25">
        <f>$B32*'Walgreens National Payments'!O$22</f>
        <v>788.90979768825207</v>
      </c>
      <c r="R32" s="25">
        <f>$B32*'Walgreens National Payments'!P$22</f>
        <v>788.90979768825207</v>
      </c>
      <c r="S32" s="25">
        <f>$B32*'Walgreens National Payments'!Q$22</f>
        <v>788.90979768825207</v>
      </c>
      <c r="T32" s="26" t="s">
        <v>346</v>
      </c>
      <c r="U32" s="26">
        <f t="shared" si="0"/>
        <v>10028.414247990497</v>
      </c>
    </row>
    <row r="33" spans="1:21" x14ac:dyDescent="0.35">
      <c r="A33" s="3" t="s">
        <v>34</v>
      </c>
      <c r="B33" s="16">
        <v>6.1607165089975981E-4</v>
      </c>
      <c r="C33" s="8" t="s">
        <v>54</v>
      </c>
      <c r="D33" s="33" t="str">
        <f t="shared" si="1"/>
        <v>No</v>
      </c>
      <c r="E33" s="25">
        <v>3012.37</v>
      </c>
      <c r="F33" s="25">
        <v>1671.86</v>
      </c>
      <c r="G33" s="25">
        <f>$B33*'Walgreens National Payments'!E$22</f>
        <v>2190.6527940727697</v>
      </c>
      <c r="H33" s="25">
        <f>$B33*'Walgreens National Payments'!F$22</f>
        <v>2190.6527940727697</v>
      </c>
      <c r="I33" s="25">
        <f>$B33*'Walgreens National Payments'!G$22</f>
        <v>2190.6527940727697</v>
      </c>
      <c r="J33" s="25">
        <f>$B33*'Walgreens National Payments'!H$22</f>
        <v>2190.6527940727697</v>
      </c>
      <c r="K33" s="25">
        <f>$B33*'Walgreens National Payments'!I$22</f>
        <v>2190.6527940727697</v>
      </c>
      <c r="L33" s="25">
        <f>$B33*'Walgreens National Payments'!J$22</f>
        <v>3318.8349450358583</v>
      </c>
      <c r="M33" s="25">
        <f>$B33*'Walgreens National Payments'!K$22</f>
        <v>3318.8349450358583</v>
      </c>
      <c r="N33" s="25">
        <f>$B33*'Walgreens National Payments'!L$22</f>
        <v>3318.8349450358583</v>
      </c>
      <c r="O33" s="25">
        <f>$B33*'Walgreens National Payments'!M$22</f>
        <v>3318.8349450358583</v>
      </c>
      <c r="P33" s="25">
        <f>$B33*'Walgreens National Payments'!N$22</f>
        <v>3318.8349450358583</v>
      </c>
      <c r="Q33" s="25">
        <f>$B33*'Walgreens National Payments'!O$22</f>
        <v>3318.8349450358583</v>
      </c>
      <c r="R33" s="25">
        <f>$B33*'Walgreens National Payments'!P$22</f>
        <v>3318.8349450358583</v>
      </c>
      <c r="S33" s="25">
        <f>$B33*'Walgreens National Payments'!Q$22</f>
        <v>3318.8349450358583</v>
      </c>
      <c r="T33" s="26" t="s">
        <v>346</v>
      </c>
      <c r="U33" s="26">
        <f t="shared" si="0"/>
        <v>42188.173530650718</v>
      </c>
    </row>
    <row r="34" spans="1:21" x14ac:dyDescent="0.35">
      <c r="A34" s="3" t="s">
        <v>55</v>
      </c>
      <c r="B34" s="16">
        <v>0</v>
      </c>
      <c r="C34" s="8" t="s">
        <v>56</v>
      </c>
      <c r="D34" s="33" t="str">
        <f t="shared" si="1"/>
        <v>Yes</v>
      </c>
      <c r="E34" s="25">
        <v>0</v>
      </c>
      <c r="F34" s="48">
        <v>0</v>
      </c>
      <c r="G34" s="100">
        <f>$B34*'Walgreens National Payments'!E$22</f>
        <v>0</v>
      </c>
      <c r="H34" s="100">
        <f>$B34*'Walgreens National Payments'!F$22</f>
        <v>0</v>
      </c>
      <c r="I34" s="100">
        <f>$B34*'Walgreens National Payments'!G$22</f>
        <v>0</v>
      </c>
      <c r="J34" s="100">
        <f>$B34*'Walgreens National Payments'!H$22</f>
        <v>0</v>
      </c>
      <c r="K34" s="100">
        <f>$B34*'Walgreens National Payments'!I$22</f>
        <v>0</v>
      </c>
      <c r="L34" s="100">
        <f>$B34*'Walgreens National Payments'!J$22</f>
        <v>0</v>
      </c>
      <c r="M34" s="100">
        <f>$B34*'Walgreens National Payments'!K$22</f>
        <v>0</v>
      </c>
      <c r="N34" s="100">
        <f>$B34*'Walgreens National Payments'!L$22</f>
        <v>0</v>
      </c>
      <c r="O34" s="100">
        <f>$B34*'Walgreens National Payments'!M$22</f>
        <v>0</v>
      </c>
      <c r="P34" s="100">
        <f>$B34*'Walgreens National Payments'!N$22</f>
        <v>0</v>
      </c>
      <c r="Q34" s="100">
        <f>$B34*'Walgreens National Payments'!O$22</f>
        <v>0</v>
      </c>
      <c r="R34" s="100">
        <f>$B34*'Walgreens National Payments'!P$22</f>
        <v>0</v>
      </c>
      <c r="S34" s="100">
        <f>$B34*'Walgreens National Payments'!Q$22</f>
        <v>0</v>
      </c>
      <c r="T34" s="26" t="s">
        <v>346</v>
      </c>
      <c r="U34" s="26">
        <f t="shared" si="0"/>
        <v>0</v>
      </c>
    </row>
    <row r="35" spans="1:21" x14ac:dyDescent="0.35">
      <c r="A35" s="3" t="s">
        <v>34</v>
      </c>
      <c r="B35" s="16">
        <v>1.4314410402168545E-3</v>
      </c>
      <c r="C35" s="8" t="s">
        <v>57</v>
      </c>
      <c r="D35" s="33" t="str">
        <f t="shared" si="1"/>
        <v>No</v>
      </c>
      <c r="E35" s="25">
        <v>6999.23</v>
      </c>
      <c r="F35" s="25">
        <v>3884.55</v>
      </c>
      <c r="G35" s="25">
        <f>$B35*'Walgreens National Payments'!E$22</f>
        <v>5089.976644310329</v>
      </c>
      <c r="H35" s="25">
        <f>$B35*'Walgreens National Payments'!F$22</f>
        <v>5089.976644310329</v>
      </c>
      <c r="I35" s="25">
        <f>$B35*'Walgreens National Payments'!G$22</f>
        <v>5089.976644310329</v>
      </c>
      <c r="J35" s="25">
        <f>$B35*'Walgreens National Payments'!H$22</f>
        <v>5089.976644310329</v>
      </c>
      <c r="K35" s="25">
        <f>$B35*'Walgreens National Payments'!I$22</f>
        <v>5089.976644310329</v>
      </c>
      <c r="L35" s="25">
        <f>$B35*'Walgreens National Payments'!J$22</f>
        <v>7711.3052338828657</v>
      </c>
      <c r="M35" s="25">
        <f>$B35*'Walgreens National Payments'!K$22</f>
        <v>7711.3052338828657</v>
      </c>
      <c r="N35" s="25">
        <f>$B35*'Walgreens National Payments'!L$22</f>
        <v>7711.3052338828657</v>
      </c>
      <c r="O35" s="25">
        <f>$B35*'Walgreens National Payments'!M$22</f>
        <v>7711.3052338828657</v>
      </c>
      <c r="P35" s="25">
        <f>$B35*'Walgreens National Payments'!N$22</f>
        <v>7711.3052338828657</v>
      </c>
      <c r="Q35" s="25">
        <f>$B35*'Walgreens National Payments'!O$22</f>
        <v>7711.3052338828657</v>
      </c>
      <c r="R35" s="25">
        <f>$B35*'Walgreens National Payments'!P$22</f>
        <v>7711.3052338828657</v>
      </c>
      <c r="S35" s="25">
        <f>$B35*'Walgreens National Payments'!Q$22</f>
        <v>7711.3052338828657</v>
      </c>
      <c r="T35" s="26" t="s">
        <v>346</v>
      </c>
      <c r="U35" s="26">
        <f t="shared" si="0"/>
        <v>98024.105092614584</v>
      </c>
    </row>
    <row r="36" spans="1:21" x14ac:dyDescent="0.35">
      <c r="A36" s="3" t="s">
        <v>58</v>
      </c>
      <c r="B36" s="16">
        <v>3.8230209662400007E-3</v>
      </c>
      <c r="C36" s="8" t="s">
        <v>58</v>
      </c>
      <c r="D36" s="33" t="str">
        <f t="shared" si="1"/>
        <v>No</v>
      </c>
      <c r="E36" s="25">
        <v>18693.2</v>
      </c>
      <c r="F36" s="25">
        <v>10374.67</v>
      </c>
      <c r="G36" s="25">
        <f>$B36*'Walgreens National Payments'!E$22</f>
        <v>13594.054440357793</v>
      </c>
      <c r="H36" s="25">
        <f>$B36*'Walgreens National Payments'!F$22</f>
        <v>13594.054440357793</v>
      </c>
      <c r="I36" s="25">
        <f>$B36*'Walgreens National Payments'!G$22</f>
        <v>13594.054440357793</v>
      </c>
      <c r="J36" s="25">
        <f>$B36*'Walgreens National Payments'!H$22</f>
        <v>13594.054440357793</v>
      </c>
      <c r="K36" s="25">
        <f>$B36*'Walgreens National Payments'!I$22</f>
        <v>13594.054440357793</v>
      </c>
      <c r="L36" s="25">
        <f>$B36*'Walgreens National Payments'!J$22</f>
        <v>20594.967419506385</v>
      </c>
      <c r="M36" s="25">
        <f>$B36*'Walgreens National Payments'!K$22</f>
        <v>20594.967419506385</v>
      </c>
      <c r="N36" s="25">
        <f>$B36*'Walgreens National Payments'!L$22</f>
        <v>20594.967419506385</v>
      </c>
      <c r="O36" s="25">
        <f>$B36*'Walgreens National Payments'!M$22</f>
        <v>20594.967419506385</v>
      </c>
      <c r="P36" s="25">
        <f>$B36*'Walgreens National Payments'!N$22</f>
        <v>20594.967419506385</v>
      </c>
      <c r="Q36" s="25">
        <f>$B36*'Walgreens National Payments'!O$22</f>
        <v>20594.967419506385</v>
      </c>
      <c r="R36" s="25">
        <f>$B36*'Walgreens National Payments'!P$22</f>
        <v>20594.967419506385</v>
      </c>
      <c r="S36" s="25">
        <f>$B36*'Walgreens National Payments'!Q$22</f>
        <v>20594.967419506385</v>
      </c>
      <c r="T36" s="26" t="s">
        <v>346</v>
      </c>
      <c r="U36" s="26">
        <f t="shared" si="0"/>
        <v>261797.88155784016</v>
      </c>
    </row>
    <row r="37" spans="1:21" x14ac:dyDescent="0.35">
      <c r="A37" s="3" t="s">
        <v>34</v>
      </c>
      <c r="B37" s="16">
        <v>1.7834819854661442E-4</v>
      </c>
      <c r="C37" s="8" t="s">
        <v>59</v>
      </c>
      <c r="D37" s="33" t="str">
        <f t="shared" si="1"/>
        <v>No</v>
      </c>
      <c r="E37" s="25">
        <v>872.06</v>
      </c>
      <c r="F37" s="25">
        <v>483.99</v>
      </c>
      <c r="G37" s="25">
        <f>$B37*'Walgreens National Payments'!E$22</f>
        <v>634.17782476012042</v>
      </c>
      <c r="H37" s="25">
        <f>$B37*'Walgreens National Payments'!F$22</f>
        <v>634.17782476012042</v>
      </c>
      <c r="I37" s="25">
        <f>$B37*'Walgreens National Payments'!G$22</f>
        <v>634.17782476012042</v>
      </c>
      <c r="J37" s="25">
        <f>$B37*'Walgreens National Payments'!H$22</f>
        <v>634.17782476012042</v>
      </c>
      <c r="K37" s="25">
        <f>$B37*'Walgreens National Payments'!I$22</f>
        <v>634.17782476012042</v>
      </c>
      <c r="L37" s="25">
        <f>$B37*'Walgreens National Payments'!J$22</f>
        <v>960.77823554488793</v>
      </c>
      <c r="M37" s="25">
        <f>$B37*'Walgreens National Payments'!K$22</f>
        <v>960.77823554488793</v>
      </c>
      <c r="N37" s="25">
        <f>$B37*'Walgreens National Payments'!L$22</f>
        <v>960.77823554488793</v>
      </c>
      <c r="O37" s="25">
        <f>$B37*'Walgreens National Payments'!M$22</f>
        <v>960.77823554488793</v>
      </c>
      <c r="P37" s="25">
        <f>$B37*'Walgreens National Payments'!N$22</f>
        <v>960.77823554488793</v>
      </c>
      <c r="Q37" s="25">
        <f>$B37*'Walgreens National Payments'!O$22</f>
        <v>960.77823554488793</v>
      </c>
      <c r="R37" s="25">
        <f>$B37*'Walgreens National Payments'!P$22</f>
        <v>960.77823554488793</v>
      </c>
      <c r="S37" s="25">
        <f>$B37*'Walgreens National Payments'!Q$22</f>
        <v>960.77823554488793</v>
      </c>
      <c r="T37" s="26" t="s">
        <v>346</v>
      </c>
      <c r="U37" s="26">
        <f t="shared" si="0"/>
        <v>12213.165008159702</v>
      </c>
    </row>
    <row r="38" spans="1:21" x14ac:dyDescent="0.35">
      <c r="A38" s="3" t="s">
        <v>60</v>
      </c>
      <c r="B38" s="16">
        <v>6.0493406028165334E-6</v>
      </c>
      <c r="C38" s="8" t="s">
        <v>61</v>
      </c>
      <c r="D38" s="33" t="str">
        <f t="shared" si="1"/>
        <v>Yes</v>
      </c>
      <c r="E38" s="25">
        <v>437.85</v>
      </c>
      <c r="F38" s="48">
        <v>0</v>
      </c>
      <c r="G38" s="100">
        <f>$B38*'Walgreens National Payments'!E$22</f>
        <v>21.510492934553334</v>
      </c>
      <c r="H38" s="100">
        <f>$B38*'Walgreens National Payments'!F$22</f>
        <v>21.510492934553334</v>
      </c>
      <c r="I38" s="100">
        <f>$B38*'Walgreens National Payments'!G$22</f>
        <v>21.510492934553334</v>
      </c>
      <c r="J38" s="100">
        <f>$B38*'Walgreens National Payments'!H$22</f>
        <v>21.510492934553334</v>
      </c>
      <c r="K38" s="100">
        <f>$B38*'Walgreens National Payments'!I$22</f>
        <v>21.510492934553334</v>
      </c>
      <c r="L38" s="100">
        <f>$B38*'Walgreens National Payments'!J$22</f>
        <v>32.588357146007446</v>
      </c>
      <c r="M38" s="100">
        <f>$B38*'Walgreens National Payments'!K$22</f>
        <v>32.588357146007446</v>
      </c>
      <c r="N38" s="100">
        <f>$B38*'Walgreens National Payments'!L$22</f>
        <v>32.588357146007446</v>
      </c>
      <c r="O38" s="100">
        <f>$B38*'Walgreens National Payments'!M$22</f>
        <v>32.588357146007446</v>
      </c>
      <c r="P38" s="100">
        <f>$B38*'Walgreens National Payments'!N$22</f>
        <v>32.588357146007446</v>
      </c>
      <c r="Q38" s="100">
        <f>$B38*'Walgreens National Payments'!O$22</f>
        <v>32.588357146007446</v>
      </c>
      <c r="R38" s="100">
        <f>$B38*'Walgreens National Payments'!P$22</f>
        <v>32.588357146007446</v>
      </c>
      <c r="S38" s="100">
        <f>$B38*'Walgreens National Payments'!Q$22</f>
        <v>32.588357146007446</v>
      </c>
      <c r="T38" s="26" t="s">
        <v>346</v>
      </c>
      <c r="U38" s="26">
        <f t="shared" si="0"/>
        <v>806.10932184082594</v>
      </c>
    </row>
    <row r="39" spans="1:21" x14ac:dyDescent="0.35">
      <c r="A39" s="3" t="s">
        <v>22</v>
      </c>
      <c r="B39" s="16">
        <v>6.1860133563783337E-4</v>
      </c>
      <c r="C39" s="8" t="s">
        <v>62</v>
      </c>
      <c r="D39" s="33" t="str">
        <f t="shared" si="1"/>
        <v>No</v>
      </c>
      <c r="E39" s="25">
        <v>3024.74</v>
      </c>
      <c r="F39" s="25">
        <v>1678.72</v>
      </c>
      <c r="G39" s="25">
        <f>$B39*'Walgreens National Payments'!E$22</f>
        <v>2199.647950612582</v>
      </c>
      <c r="H39" s="25">
        <f>$B39*'Walgreens National Payments'!F$22</f>
        <v>2199.647950612582</v>
      </c>
      <c r="I39" s="25">
        <f>$B39*'Walgreens National Payments'!G$22</f>
        <v>2199.647950612582</v>
      </c>
      <c r="J39" s="25">
        <f>$B39*'Walgreens National Payments'!H$22</f>
        <v>2199.647950612582</v>
      </c>
      <c r="K39" s="25">
        <f>$B39*'Walgreens National Payments'!I$22</f>
        <v>2199.647950612582</v>
      </c>
      <c r="L39" s="25">
        <f>$B39*'Walgreens National Payments'!J$22</f>
        <v>3332.4625906130905</v>
      </c>
      <c r="M39" s="25">
        <f>$B39*'Walgreens National Payments'!K$22</f>
        <v>3332.4625906130905</v>
      </c>
      <c r="N39" s="25">
        <f>$B39*'Walgreens National Payments'!L$22</f>
        <v>3332.4625906130905</v>
      </c>
      <c r="O39" s="25">
        <f>$B39*'Walgreens National Payments'!M$22</f>
        <v>3332.4625906130905</v>
      </c>
      <c r="P39" s="25">
        <f>$B39*'Walgreens National Payments'!N$22</f>
        <v>3332.4625906130905</v>
      </c>
      <c r="Q39" s="25">
        <f>$B39*'Walgreens National Payments'!O$22</f>
        <v>3332.4625906130905</v>
      </c>
      <c r="R39" s="25">
        <f>$B39*'Walgreens National Payments'!P$22</f>
        <v>3332.4625906130905</v>
      </c>
      <c r="S39" s="25">
        <f>$B39*'Walgreens National Payments'!Q$22</f>
        <v>3332.4625906130905</v>
      </c>
      <c r="T39" s="26" t="s">
        <v>346</v>
      </c>
      <c r="U39" s="26">
        <f t="shared" si="0"/>
        <v>42361.400477967625</v>
      </c>
    </row>
    <row r="40" spans="1:21" x14ac:dyDescent="0.35">
      <c r="A40" s="3" t="s">
        <v>63</v>
      </c>
      <c r="B40" s="16">
        <v>1.9828741491205145E-4</v>
      </c>
      <c r="C40" s="8" t="s">
        <v>64</v>
      </c>
      <c r="D40" s="33" t="str">
        <f t="shared" si="1"/>
        <v>No</v>
      </c>
      <c r="E40" s="25">
        <v>969.55</v>
      </c>
      <c r="F40" s="25">
        <v>538.1</v>
      </c>
      <c r="G40" s="25">
        <f>$B40*'Walgreens National Payments'!E$22</f>
        <v>705.07850648889746</v>
      </c>
      <c r="H40" s="25">
        <f>$B40*'Walgreens National Payments'!F$22</f>
        <v>705.07850648889746</v>
      </c>
      <c r="I40" s="25">
        <f>$B40*'Walgreens National Payments'!G$22</f>
        <v>705.07850648889746</v>
      </c>
      <c r="J40" s="25">
        <f>$B40*'Walgreens National Payments'!H$22</f>
        <v>705.07850648889746</v>
      </c>
      <c r="K40" s="25">
        <f>$B40*'Walgreens National Payments'!I$22</f>
        <v>705.07850648889746</v>
      </c>
      <c r="L40" s="25">
        <f>$B40*'Walgreens National Payments'!J$22</f>
        <v>1068.1926376742442</v>
      </c>
      <c r="M40" s="25">
        <f>$B40*'Walgreens National Payments'!K$22</f>
        <v>1068.1926376742442</v>
      </c>
      <c r="N40" s="25">
        <f>$B40*'Walgreens National Payments'!L$22</f>
        <v>1068.1926376742442</v>
      </c>
      <c r="O40" s="25">
        <f>$B40*'Walgreens National Payments'!M$22</f>
        <v>1068.1926376742442</v>
      </c>
      <c r="P40" s="25">
        <f>$B40*'Walgreens National Payments'!N$22</f>
        <v>1068.1926376742442</v>
      </c>
      <c r="Q40" s="25">
        <f>$B40*'Walgreens National Payments'!O$22</f>
        <v>1068.1926376742442</v>
      </c>
      <c r="R40" s="25">
        <f>$B40*'Walgreens National Payments'!P$22</f>
        <v>1068.1926376742442</v>
      </c>
      <c r="S40" s="25">
        <f>$B40*'Walgreens National Payments'!Q$22</f>
        <v>1068.1926376742442</v>
      </c>
      <c r="T40" s="26" t="s">
        <v>346</v>
      </c>
      <c r="U40" s="26">
        <f t="shared" si="0"/>
        <v>13578.583633838445</v>
      </c>
    </row>
    <row r="41" spans="1:21" x14ac:dyDescent="0.35">
      <c r="A41" s="3" t="s">
        <v>14</v>
      </c>
      <c r="B41" s="16">
        <v>8.5803473491828175E-5</v>
      </c>
      <c r="C41" s="8" t="s">
        <v>65</v>
      </c>
      <c r="D41" s="8" t="s">
        <v>337</v>
      </c>
      <c r="E41" s="25">
        <v>0</v>
      </c>
      <c r="F41" s="25">
        <v>0</v>
      </c>
      <c r="G41" s="25">
        <f>$B41*'Walgreens National Payments'!E$22</f>
        <v>305.10350325567219</v>
      </c>
      <c r="H41" s="25">
        <f>$B41*'Walgreens National Payments'!F$22</f>
        <v>305.10350325567219</v>
      </c>
      <c r="I41" s="25">
        <f>$B41*'Walgreens National Payments'!G$22</f>
        <v>305.10350325567219</v>
      </c>
      <c r="J41" s="25">
        <f>$B41*'Walgreens National Payments'!H$22</f>
        <v>305.10350325567219</v>
      </c>
      <c r="K41" s="25">
        <f>$B41*'Walgreens National Payments'!I$22</f>
        <v>305.10350325567219</v>
      </c>
      <c r="L41" s="25">
        <f>$B41*'Walgreens National Payments'!J$22</f>
        <v>462.2312450414496</v>
      </c>
      <c r="M41" s="25">
        <f>$B41*'Walgreens National Payments'!K$22</f>
        <v>462.2312450414496</v>
      </c>
      <c r="N41" s="25">
        <f>$B41*'Walgreens National Payments'!L$22</f>
        <v>462.2312450414496</v>
      </c>
      <c r="O41" s="25">
        <f>$B41*'Walgreens National Payments'!M$22</f>
        <v>462.2312450414496</v>
      </c>
      <c r="P41" s="25">
        <f>$B41*'Walgreens National Payments'!N$22</f>
        <v>462.2312450414496</v>
      </c>
      <c r="Q41" s="25">
        <f>$B41*'Walgreens National Payments'!O$22</f>
        <v>462.2312450414496</v>
      </c>
      <c r="R41" s="25">
        <f>$B41*'Walgreens National Payments'!P$22</f>
        <v>462.2312450414496</v>
      </c>
      <c r="S41" s="25">
        <f>$B41*'Walgreens National Payments'!Q$22</f>
        <v>462.2312450414496</v>
      </c>
      <c r="T41" s="26" t="s">
        <v>346</v>
      </c>
      <c r="U41" s="26">
        <f t="shared" si="0"/>
        <v>5223.3674766099575</v>
      </c>
    </row>
    <row r="42" spans="1:21" x14ac:dyDescent="0.35">
      <c r="A42" s="3" t="s">
        <v>66</v>
      </c>
      <c r="B42" s="16">
        <v>5.9285718408623813E-4</v>
      </c>
      <c r="C42" s="8" t="s">
        <v>67</v>
      </c>
      <c r="D42" s="33" t="str">
        <f t="shared" si="1"/>
        <v>No</v>
      </c>
      <c r="E42" s="25">
        <v>2898.86</v>
      </c>
      <c r="F42" s="25">
        <v>1608.86</v>
      </c>
      <c r="G42" s="25">
        <f>$B42*'Walgreens National Payments'!E$22</f>
        <v>2108.1058427341086</v>
      </c>
      <c r="H42" s="25">
        <f>$B42*'Walgreens National Payments'!F$22</f>
        <v>2108.1058427341086</v>
      </c>
      <c r="I42" s="25">
        <f>$B42*'Walgreens National Payments'!G$22</f>
        <v>2108.1058427341086</v>
      </c>
      <c r="J42" s="25">
        <f>$B42*'Walgreens National Payments'!H$22</f>
        <v>2108.1058427341086</v>
      </c>
      <c r="K42" s="25">
        <f>$B42*'Walgreens National Payments'!I$22</f>
        <v>2108.1058427341086</v>
      </c>
      <c r="L42" s="25">
        <f>$B42*'Walgreens National Payments'!J$22</f>
        <v>3193.7764659148525</v>
      </c>
      <c r="M42" s="25">
        <f>$B42*'Walgreens National Payments'!K$22</f>
        <v>3193.7764659148525</v>
      </c>
      <c r="N42" s="25">
        <f>$B42*'Walgreens National Payments'!L$22</f>
        <v>3193.7764659148525</v>
      </c>
      <c r="O42" s="25">
        <f>$B42*'Walgreens National Payments'!M$22</f>
        <v>3193.7764659148525</v>
      </c>
      <c r="P42" s="25">
        <f>$B42*'Walgreens National Payments'!N$22</f>
        <v>3193.7764659148525</v>
      </c>
      <c r="Q42" s="25">
        <f>$B42*'Walgreens National Payments'!O$22</f>
        <v>3193.7764659148525</v>
      </c>
      <c r="R42" s="25">
        <f>$B42*'Walgreens National Payments'!P$22</f>
        <v>3193.7764659148525</v>
      </c>
      <c r="S42" s="25">
        <f>$B42*'Walgreens National Payments'!Q$22</f>
        <v>3193.7764659148525</v>
      </c>
      <c r="T42" s="26" t="s">
        <v>346</v>
      </c>
      <c r="U42" s="26">
        <f t="shared" si="0"/>
        <v>40598.46094098936</v>
      </c>
    </row>
    <row r="43" spans="1:21" x14ac:dyDescent="0.35">
      <c r="A43" s="3" t="s">
        <v>14</v>
      </c>
      <c r="B43" s="16">
        <v>2.7577829756919563E-5</v>
      </c>
      <c r="C43" s="8" t="s">
        <v>68</v>
      </c>
      <c r="D43" s="33" t="str">
        <f t="shared" si="1"/>
        <v>Yes</v>
      </c>
      <c r="E43" s="25">
        <v>1996.08</v>
      </c>
      <c r="F43" s="48">
        <v>0</v>
      </c>
      <c r="G43" s="100">
        <f>$B43*'Walgreens National Payments'!E$22</f>
        <v>98.062375899339671</v>
      </c>
      <c r="H43" s="100">
        <f>$B43*'Walgreens National Payments'!F$22</f>
        <v>98.062375899339671</v>
      </c>
      <c r="I43" s="100">
        <f>$B43*'Walgreens National Payments'!G$22</f>
        <v>98.062375899339671</v>
      </c>
      <c r="J43" s="100">
        <f>$B43*'Walgreens National Payments'!H$22</f>
        <v>98.062375899339671</v>
      </c>
      <c r="K43" s="100">
        <f>$B43*'Walgreens National Payments'!I$22</f>
        <v>98.062375899339671</v>
      </c>
      <c r="L43" s="100">
        <f>$B43*'Walgreens National Payments'!J$22</f>
        <v>148.56431873117711</v>
      </c>
      <c r="M43" s="100">
        <f>$B43*'Walgreens National Payments'!K$22</f>
        <v>148.56431873117711</v>
      </c>
      <c r="N43" s="100">
        <f>$B43*'Walgreens National Payments'!L$22</f>
        <v>148.56431873117711</v>
      </c>
      <c r="O43" s="100">
        <f>$B43*'Walgreens National Payments'!M$22</f>
        <v>148.56431873117711</v>
      </c>
      <c r="P43" s="100">
        <f>$B43*'Walgreens National Payments'!N$22</f>
        <v>148.56431873117711</v>
      </c>
      <c r="Q43" s="100">
        <f>$B43*'Walgreens National Payments'!O$22</f>
        <v>148.56431873117711</v>
      </c>
      <c r="R43" s="100">
        <f>$B43*'Walgreens National Payments'!P$22</f>
        <v>148.56431873117711</v>
      </c>
      <c r="S43" s="100">
        <f>$B43*'Walgreens National Payments'!Q$22</f>
        <v>148.56431873117711</v>
      </c>
      <c r="T43" s="26" t="s">
        <v>346</v>
      </c>
      <c r="U43" s="26">
        <f t="shared" si="0"/>
        <v>3674.9064293461151</v>
      </c>
    </row>
    <row r="44" spans="1:21" x14ac:dyDescent="0.35">
      <c r="A44" s="3" t="s">
        <v>42</v>
      </c>
      <c r="B44" s="16">
        <v>1.8505476605280003E-2</v>
      </c>
      <c r="C44" s="8" t="s">
        <v>42</v>
      </c>
      <c r="D44" s="33" t="str">
        <f t="shared" si="1"/>
        <v>No</v>
      </c>
      <c r="E44" s="25">
        <v>90485.14</v>
      </c>
      <c r="F44" s="25">
        <v>50219</v>
      </c>
      <c r="G44" s="25">
        <f>$B44*'Walgreens National Payments'!E$22</f>
        <v>65802.531202009428</v>
      </c>
      <c r="H44" s="25">
        <f>$B44*'Walgreens National Payments'!F$22</f>
        <v>65802.531202009428</v>
      </c>
      <c r="I44" s="25">
        <f>$B44*'Walgreens National Payments'!G$22</f>
        <v>65802.531202009428</v>
      </c>
      <c r="J44" s="25">
        <f>$B44*'Walgreens National Payments'!H$22</f>
        <v>65802.531202009428</v>
      </c>
      <c r="K44" s="25">
        <f>$B44*'Walgreens National Payments'!I$22</f>
        <v>65802.531202009428</v>
      </c>
      <c r="L44" s="25">
        <f>$B44*'Walgreens National Payments'!J$22</f>
        <v>99690.713478617487</v>
      </c>
      <c r="M44" s="25">
        <f>$B44*'Walgreens National Payments'!K$22</f>
        <v>99690.713478617487</v>
      </c>
      <c r="N44" s="25">
        <f>$B44*'Walgreens National Payments'!L$22</f>
        <v>99690.713478617487</v>
      </c>
      <c r="O44" s="25">
        <f>$B44*'Walgreens National Payments'!M$22</f>
        <v>99690.713478617487</v>
      </c>
      <c r="P44" s="25">
        <f>$B44*'Walgreens National Payments'!N$22</f>
        <v>99690.713478617487</v>
      </c>
      <c r="Q44" s="25">
        <f>$B44*'Walgreens National Payments'!O$22</f>
        <v>99690.713478617487</v>
      </c>
      <c r="R44" s="25">
        <f>$B44*'Walgreens National Payments'!P$22</f>
        <v>99690.713478617487</v>
      </c>
      <c r="S44" s="25">
        <f>$B44*'Walgreens National Payments'!Q$22</f>
        <v>99690.713478617487</v>
      </c>
      <c r="T44" s="26" t="s">
        <v>346</v>
      </c>
      <c r="U44" s="26">
        <f t="shared" si="0"/>
        <v>1267242.5038389866</v>
      </c>
    </row>
    <row r="45" spans="1:21" x14ac:dyDescent="0.35">
      <c r="A45" s="3" t="s">
        <v>14</v>
      </c>
      <c r="B45" s="16">
        <v>3.3093395469285523E-5</v>
      </c>
      <c r="C45" s="8" t="s">
        <v>69</v>
      </c>
      <c r="D45" s="8" t="s">
        <v>337</v>
      </c>
      <c r="E45" s="25">
        <v>0</v>
      </c>
      <c r="F45" s="25">
        <v>0</v>
      </c>
      <c r="G45" s="25">
        <f>$B45*'Walgreens National Payments'!E$22</f>
        <v>117.67485022929777</v>
      </c>
      <c r="H45" s="25">
        <f>$B45*'Walgreens National Payments'!F$22</f>
        <v>117.67485022929777</v>
      </c>
      <c r="I45" s="25">
        <f>$B45*'Walgreens National Payments'!G$22</f>
        <v>117.67485022929777</v>
      </c>
      <c r="J45" s="25">
        <f>$B45*'Walgreens National Payments'!H$22</f>
        <v>117.67485022929777</v>
      </c>
      <c r="K45" s="25">
        <f>$B45*'Walgreens National Payments'!I$22</f>
        <v>117.67485022929777</v>
      </c>
      <c r="L45" s="25">
        <f>$B45*'Walgreens National Payments'!J$22</f>
        <v>178.27718118980073</v>
      </c>
      <c r="M45" s="25">
        <f>$B45*'Walgreens National Payments'!K$22</f>
        <v>178.27718118980073</v>
      </c>
      <c r="N45" s="25">
        <f>$B45*'Walgreens National Payments'!L$22</f>
        <v>178.27718118980073</v>
      </c>
      <c r="O45" s="25">
        <f>$B45*'Walgreens National Payments'!M$22</f>
        <v>178.27718118980073</v>
      </c>
      <c r="P45" s="25">
        <f>$B45*'Walgreens National Payments'!N$22</f>
        <v>178.27718118980073</v>
      </c>
      <c r="Q45" s="25">
        <f>$B45*'Walgreens National Payments'!O$22</f>
        <v>178.27718118980073</v>
      </c>
      <c r="R45" s="25">
        <f>$B45*'Walgreens National Payments'!P$22</f>
        <v>178.27718118980073</v>
      </c>
      <c r="S45" s="25">
        <f>$B45*'Walgreens National Payments'!Q$22</f>
        <v>178.27718118980073</v>
      </c>
      <c r="T45" s="26" t="s">
        <v>346</v>
      </c>
      <c r="U45" s="26">
        <f t="shared" si="0"/>
        <v>2014.5917006648951</v>
      </c>
    </row>
    <row r="46" spans="1:21" x14ac:dyDescent="0.35">
      <c r="A46" s="3" t="s">
        <v>22</v>
      </c>
      <c r="B46" s="16">
        <v>2.6353816720000004E-3</v>
      </c>
      <c r="C46" s="8" t="s">
        <v>70</v>
      </c>
      <c r="D46" s="33" t="str">
        <f t="shared" si="1"/>
        <v>No</v>
      </c>
      <c r="E46" s="25">
        <v>12886.07</v>
      </c>
      <c r="F46" s="25">
        <v>7151.73</v>
      </c>
      <c r="G46" s="25">
        <f>$B46*'Walgreens National Payments'!E$22</f>
        <v>9370.9980239852302</v>
      </c>
      <c r="H46" s="25">
        <f>$B46*'Walgreens National Payments'!F$22</f>
        <v>9370.9980239852302</v>
      </c>
      <c r="I46" s="25">
        <f>$B46*'Walgreens National Payments'!G$22</f>
        <v>9370.9980239852302</v>
      </c>
      <c r="J46" s="25">
        <f>$B46*'Walgreens National Payments'!H$22</f>
        <v>9370.9980239852302</v>
      </c>
      <c r="K46" s="25">
        <f>$B46*'Walgreens National Payments'!I$22</f>
        <v>9370.9980239852302</v>
      </c>
      <c r="L46" s="25">
        <f>$B46*'Walgreens National Payments'!J$22</f>
        <v>14197.044732973345</v>
      </c>
      <c r="M46" s="25">
        <f>$B46*'Walgreens National Payments'!K$22</f>
        <v>14197.044732973345</v>
      </c>
      <c r="N46" s="25">
        <f>$B46*'Walgreens National Payments'!L$22</f>
        <v>14197.044732973345</v>
      </c>
      <c r="O46" s="25">
        <f>$B46*'Walgreens National Payments'!M$22</f>
        <v>14197.044732973345</v>
      </c>
      <c r="P46" s="25">
        <f>$B46*'Walgreens National Payments'!N$22</f>
        <v>14197.044732973345</v>
      </c>
      <c r="Q46" s="25">
        <f>$B46*'Walgreens National Payments'!O$22</f>
        <v>14197.044732973345</v>
      </c>
      <c r="R46" s="25">
        <f>$B46*'Walgreens National Payments'!P$22</f>
        <v>14197.044732973345</v>
      </c>
      <c r="S46" s="25">
        <f>$B46*'Walgreens National Payments'!Q$22</f>
        <v>14197.044732973345</v>
      </c>
      <c r="T46" s="26" t="s">
        <v>346</v>
      </c>
      <c r="U46" s="26">
        <f t="shared" si="0"/>
        <v>180469.14798371296</v>
      </c>
    </row>
    <row r="47" spans="1:21" x14ac:dyDescent="0.35">
      <c r="A47" s="3" t="s">
        <v>14</v>
      </c>
      <c r="B47" s="16">
        <v>1.211863496205807E-4</v>
      </c>
      <c r="C47" s="8" t="s">
        <v>71</v>
      </c>
      <c r="D47" s="33" t="str">
        <f t="shared" si="1"/>
        <v>No</v>
      </c>
      <c r="E47" s="25">
        <v>592.55999999999995</v>
      </c>
      <c r="F47" s="25">
        <v>328.87</v>
      </c>
      <c r="G47" s="25">
        <f>$B47*'Walgreens National Payments'!E$22</f>
        <v>430.91938252974421</v>
      </c>
      <c r="H47" s="25">
        <f>$B47*'Walgreens National Payments'!F$22</f>
        <v>430.91938252974421</v>
      </c>
      <c r="I47" s="25">
        <f>$B47*'Walgreens National Payments'!G$22</f>
        <v>430.91938252974421</v>
      </c>
      <c r="J47" s="25">
        <f>$B47*'Walgreens National Payments'!H$22</f>
        <v>430.91938252974421</v>
      </c>
      <c r="K47" s="25">
        <f>$B47*'Walgreens National Payments'!I$22</f>
        <v>430.91938252974421</v>
      </c>
      <c r="L47" s="25">
        <f>$B47*'Walgreens National Payments'!J$22</f>
        <v>652.84207022789496</v>
      </c>
      <c r="M47" s="25">
        <f>$B47*'Walgreens National Payments'!K$22</f>
        <v>652.84207022789496</v>
      </c>
      <c r="N47" s="25">
        <f>$B47*'Walgreens National Payments'!L$22</f>
        <v>652.84207022789496</v>
      </c>
      <c r="O47" s="25">
        <f>$B47*'Walgreens National Payments'!M$22</f>
        <v>652.84207022789496</v>
      </c>
      <c r="P47" s="25">
        <f>$B47*'Walgreens National Payments'!N$22</f>
        <v>652.84207022789496</v>
      </c>
      <c r="Q47" s="25">
        <f>$B47*'Walgreens National Payments'!O$22</f>
        <v>652.84207022789496</v>
      </c>
      <c r="R47" s="25">
        <f>$B47*'Walgreens National Payments'!P$22</f>
        <v>652.84207022789496</v>
      </c>
      <c r="S47" s="25">
        <f>$B47*'Walgreens National Payments'!Q$22</f>
        <v>652.84207022789496</v>
      </c>
      <c r="T47" s="26" t="s">
        <v>346</v>
      </c>
      <c r="U47" s="26">
        <f t="shared" si="0"/>
        <v>8298.763474471878</v>
      </c>
    </row>
    <row r="48" spans="1:21" x14ac:dyDescent="0.35">
      <c r="A48" s="3" t="s">
        <v>72</v>
      </c>
      <c r="B48" s="16">
        <v>4.1274553924800002E-3</v>
      </c>
      <c r="C48" s="8" t="s">
        <v>72</v>
      </c>
      <c r="D48" s="33" t="str">
        <f t="shared" si="1"/>
        <v>No</v>
      </c>
      <c r="E48" s="25">
        <v>20181.77</v>
      </c>
      <c r="F48" s="25">
        <v>11200.83</v>
      </c>
      <c r="G48" s="25">
        <f>$B48*'Walgreens National Payments'!E$22</f>
        <v>14676.574834666779</v>
      </c>
      <c r="H48" s="25">
        <f>$B48*'Walgreens National Payments'!F$22</f>
        <v>14676.574834666779</v>
      </c>
      <c r="I48" s="25">
        <f>$B48*'Walgreens National Payments'!G$22</f>
        <v>14676.574834666779</v>
      </c>
      <c r="J48" s="25">
        <f>$B48*'Walgreens National Payments'!H$22</f>
        <v>14676.574834666779</v>
      </c>
      <c r="K48" s="25">
        <f>$B48*'Walgreens National Payments'!I$22</f>
        <v>14676.574834666779</v>
      </c>
      <c r="L48" s="25">
        <f>$B48*'Walgreens National Payments'!J$22</f>
        <v>22234.983821497342</v>
      </c>
      <c r="M48" s="25">
        <f>$B48*'Walgreens National Payments'!K$22</f>
        <v>22234.983821497342</v>
      </c>
      <c r="N48" s="25">
        <f>$B48*'Walgreens National Payments'!L$22</f>
        <v>22234.983821497342</v>
      </c>
      <c r="O48" s="25">
        <f>$B48*'Walgreens National Payments'!M$22</f>
        <v>22234.983821497342</v>
      </c>
      <c r="P48" s="25">
        <f>$B48*'Walgreens National Payments'!N$22</f>
        <v>22234.983821497342</v>
      </c>
      <c r="Q48" s="25">
        <f>$B48*'Walgreens National Payments'!O$22</f>
        <v>22234.983821497342</v>
      </c>
      <c r="R48" s="25">
        <f>$B48*'Walgreens National Payments'!P$22</f>
        <v>22234.983821497342</v>
      </c>
      <c r="S48" s="25">
        <f>$B48*'Walgreens National Payments'!Q$22</f>
        <v>22234.983821497342</v>
      </c>
      <c r="T48" s="26" t="s">
        <v>346</v>
      </c>
      <c r="U48" s="26">
        <f t="shared" si="0"/>
        <v>282645.3447453127</v>
      </c>
    </row>
    <row r="49" spans="1:21" x14ac:dyDescent="0.35">
      <c r="A49" s="3" t="s">
        <v>73</v>
      </c>
      <c r="B49" s="16">
        <v>2.1428580409600002E-3</v>
      </c>
      <c r="C49" s="8" t="s">
        <v>73</v>
      </c>
      <c r="D49" s="33" t="str">
        <f t="shared" si="1"/>
        <v>No</v>
      </c>
      <c r="E49" s="25">
        <v>10477.81</v>
      </c>
      <c r="F49" s="25">
        <v>5815.15</v>
      </c>
      <c r="G49" s="25">
        <f>$B49*'Walgreens National Payments'!E$22</f>
        <v>7619.6623361494721</v>
      </c>
      <c r="H49" s="25">
        <f>$B49*'Walgreens National Payments'!F$22</f>
        <v>7619.6623361494721</v>
      </c>
      <c r="I49" s="25">
        <f>$B49*'Walgreens National Payments'!G$22</f>
        <v>7619.6623361494721</v>
      </c>
      <c r="J49" s="25">
        <f>$B49*'Walgreens National Payments'!H$22</f>
        <v>7619.6623361494721</v>
      </c>
      <c r="K49" s="25">
        <f>$B49*'Walgreens National Payments'!I$22</f>
        <v>7619.6623361494721</v>
      </c>
      <c r="L49" s="25">
        <f>$B49*'Walgreens National Payments'!J$22</f>
        <v>11543.774394102544</v>
      </c>
      <c r="M49" s="25">
        <f>$B49*'Walgreens National Payments'!K$22</f>
        <v>11543.774394102544</v>
      </c>
      <c r="N49" s="25">
        <f>$B49*'Walgreens National Payments'!L$22</f>
        <v>11543.774394102544</v>
      </c>
      <c r="O49" s="25">
        <f>$B49*'Walgreens National Payments'!M$22</f>
        <v>11543.774394102544</v>
      </c>
      <c r="P49" s="25">
        <f>$B49*'Walgreens National Payments'!N$22</f>
        <v>11543.774394102544</v>
      </c>
      <c r="Q49" s="25">
        <f>$B49*'Walgreens National Payments'!O$22</f>
        <v>11543.774394102544</v>
      </c>
      <c r="R49" s="25">
        <f>$B49*'Walgreens National Payments'!P$22</f>
        <v>11543.774394102544</v>
      </c>
      <c r="S49" s="25">
        <f>$B49*'Walgreens National Payments'!Q$22</f>
        <v>11543.774394102544</v>
      </c>
      <c r="T49" s="26" t="s">
        <v>346</v>
      </c>
      <c r="U49" s="26">
        <f t="shared" si="0"/>
        <v>146741.46683356768</v>
      </c>
    </row>
    <row r="50" spans="1:21" x14ac:dyDescent="0.35">
      <c r="A50" s="3" t="s">
        <v>74</v>
      </c>
      <c r="B50" s="16">
        <v>3.1672388092800004E-3</v>
      </c>
      <c r="C50" s="8" t="s">
        <v>74</v>
      </c>
      <c r="D50" s="33" t="str">
        <f t="shared" si="1"/>
        <v>No</v>
      </c>
      <c r="E50" s="25">
        <v>15486.66</v>
      </c>
      <c r="F50" s="25">
        <v>8595.0499999999993</v>
      </c>
      <c r="G50" s="25">
        <f>$B50*'Walgreens National Payments'!E$22</f>
        <v>11262.197403356691</v>
      </c>
      <c r="H50" s="25">
        <f>$B50*'Walgreens National Payments'!F$22</f>
        <v>11262.197403356691</v>
      </c>
      <c r="I50" s="25">
        <f>$B50*'Walgreens National Payments'!G$22</f>
        <v>11262.197403356691</v>
      </c>
      <c r="J50" s="25">
        <f>$B50*'Walgreens National Payments'!H$22</f>
        <v>11262.197403356691</v>
      </c>
      <c r="K50" s="25">
        <f>$B50*'Walgreens National Payments'!I$22</f>
        <v>11262.197403356691</v>
      </c>
      <c r="L50" s="25">
        <f>$B50*'Walgreens National Payments'!J$22</f>
        <v>17062.208306712924</v>
      </c>
      <c r="M50" s="25">
        <f>$B50*'Walgreens National Payments'!K$22</f>
        <v>17062.208306712924</v>
      </c>
      <c r="N50" s="25">
        <f>$B50*'Walgreens National Payments'!L$22</f>
        <v>17062.208306712924</v>
      </c>
      <c r="O50" s="25">
        <f>$B50*'Walgreens National Payments'!M$22</f>
        <v>17062.208306712924</v>
      </c>
      <c r="P50" s="25">
        <f>$B50*'Walgreens National Payments'!N$22</f>
        <v>17062.208306712924</v>
      </c>
      <c r="Q50" s="25">
        <f>$B50*'Walgreens National Payments'!O$22</f>
        <v>17062.208306712924</v>
      </c>
      <c r="R50" s="25">
        <f>$B50*'Walgreens National Payments'!P$22</f>
        <v>17062.208306712924</v>
      </c>
      <c r="S50" s="25">
        <f>$B50*'Walgreens National Payments'!Q$22</f>
        <v>17062.208306712924</v>
      </c>
      <c r="T50" s="26" t="s">
        <v>346</v>
      </c>
      <c r="U50" s="26">
        <f t="shared" si="0"/>
        <v>216890.3634704868</v>
      </c>
    </row>
    <row r="51" spans="1:21" x14ac:dyDescent="0.35">
      <c r="A51" s="3" t="s">
        <v>75</v>
      </c>
      <c r="B51" s="16">
        <v>1.2625116440371095E-3</v>
      </c>
      <c r="C51" s="8" t="s">
        <v>76</v>
      </c>
      <c r="D51" s="33" t="str">
        <f t="shared" si="1"/>
        <v>No</v>
      </c>
      <c r="E51" s="25">
        <v>6173.23</v>
      </c>
      <c r="F51" s="25">
        <v>3426.12</v>
      </c>
      <c r="G51" s="25">
        <f>$B51*'Walgreens National Payments'!E$22</f>
        <v>4489.2905825483385</v>
      </c>
      <c r="H51" s="25">
        <f>$B51*'Walgreens National Payments'!F$22</f>
        <v>4489.2905825483385</v>
      </c>
      <c r="I51" s="25">
        <f>$B51*'Walgreens National Payments'!G$22</f>
        <v>4489.2905825483385</v>
      </c>
      <c r="J51" s="25">
        <f>$B51*'Walgreens National Payments'!H$22</f>
        <v>4489.2905825483385</v>
      </c>
      <c r="K51" s="25">
        <f>$B51*'Walgreens National Payments'!I$22</f>
        <v>4489.2905825483385</v>
      </c>
      <c r="L51" s="25">
        <f>$B51*'Walgreens National Payments'!J$22</f>
        <v>6801.2669575454811</v>
      </c>
      <c r="M51" s="25">
        <f>$B51*'Walgreens National Payments'!K$22</f>
        <v>6801.2669575454811</v>
      </c>
      <c r="N51" s="25">
        <f>$B51*'Walgreens National Payments'!L$22</f>
        <v>6801.2669575454811</v>
      </c>
      <c r="O51" s="25">
        <f>$B51*'Walgreens National Payments'!M$22</f>
        <v>6801.2669575454811</v>
      </c>
      <c r="P51" s="25">
        <f>$B51*'Walgreens National Payments'!N$22</f>
        <v>6801.2669575454811</v>
      </c>
      <c r="Q51" s="25">
        <f>$B51*'Walgreens National Payments'!O$22</f>
        <v>6801.2669575454811</v>
      </c>
      <c r="R51" s="25">
        <f>$B51*'Walgreens National Payments'!P$22</f>
        <v>6801.2669575454811</v>
      </c>
      <c r="S51" s="25">
        <f>$B51*'Walgreens National Payments'!Q$22</f>
        <v>6801.2669575454811</v>
      </c>
      <c r="T51" s="26" t="s">
        <v>346</v>
      </c>
      <c r="U51" s="26">
        <f t="shared" si="0"/>
        <v>86455.938573105523</v>
      </c>
    </row>
    <row r="52" spans="1:21" x14ac:dyDescent="0.35">
      <c r="A52" s="3" t="s">
        <v>77</v>
      </c>
      <c r="B52" s="16">
        <v>2.6802056915200003E-3</v>
      </c>
      <c r="C52" s="8" t="s">
        <v>77</v>
      </c>
      <c r="D52" s="33" t="str">
        <f t="shared" si="1"/>
        <v>No</v>
      </c>
      <c r="E52" s="25">
        <v>13105.24</v>
      </c>
      <c r="F52" s="25">
        <v>7273.37</v>
      </c>
      <c r="G52" s="25">
        <f>$B52*'Walgreens National Payments'!E$22</f>
        <v>9530.3851073864062</v>
      </c>
      <c r="H52" s="25">
        <f>$B52*'Walgreens National Payments'!F$22</f>
        <v>9530.3851073864062</v>
      </c>
      <c r="I52" s="25">
        <f>$B52*'Walgreens National Payments'!G$22</f>
        <v>9530.3851073864062</v>
      </c>
      <c r="J52" s="25">
        <f>$B52*'Walgreens National Payments'!H$22</f>
        <v>9530.3851073864062</v>
      </c>
      <c r="K52" s="25">
        <f>$B52*'Walgreens National Payments'!I$22</f>
        <v>9530.3851073864062</v>
      </c>
      <c r="L52" s="25">
        <f>$B52*'Walgreens National Payments'!J$22</f>
        <v>14438.515870531257</v>
      </c>
      <c r="M52" s="25">
        <f>$B52*'Walgreens National Payments'!K$22</f>
        <v>14438.515870531257</v>
      </c>
      <c r="N52" s="25">
        <f>$B52*'Walgreens National Payments'!L$22</f>
        <v>14438.515870531257</v>
      </c>
      <c r="O52" s="25">
        <f>$B52*'Walgreens National Payments'!M$22</f>
        <v>14438.515870531257</v>
      </c>
      <c r="P52" s="25">
        <f>$B52*'Walgreens National Payments'!N$22</f>
        <v>14438.515870531257</v>
      </c>
      <c r="Q52" s="25">
        <f>$B52*'Walgreens National Payments'!O$22</f>
        <v>14438.515870531257</v>
      </c>
      <c r="R52" s="25">
        <f>$B52*'Walgreens National Payments'!P$22</f>
        <v>14438.515870531257</v>
      </c>
      <c r="S52" s="25">
        <f>$B52*'Walgreens National Payments'!Q$22</f>
        <v>14438.515870531257</v>
      </c>
      <c r="T52" s="26" t="s">
        <v>346</v>
      </c>
      <c r="U52" s="26">
        <f t="shared" si="0"/>
        <v>183538.66250118215</v>
      </c>
    </row>
    <row r="53" spans="1:21" x14ac:dyDescent="0.35">
      <c r="A53" s="3" t="s">
        <v>78</v>
      </c>
      <c r="B53" s="16">
        <v>2.7998174328112426E-3</v>
      </c>
      <c r="C53" s="8" t="s">
        <v>78</v>
      </c>
      <c r="D53" s="33" t="str">
        <f t="shared" si="1"/>
        <v>No</v>
      </c>
      <c r="E53" s="25">
        <v>13690.1</v>
      </c>
      <c r="F53" s="25">
        <v>7597.97</v>
      </c>
      <c r="G53" s="25">
        <f>$B53*'Walgreens National Payments'!E$22</f>
        <v>9955.7054331648815</v>
      </c>
      <c r="H53" s="25">
        <f>$B53*'Walgreens National Payments'!F$22</f>
        <v>9955.7054331648815</v>
      </c>
      <c r="I53" s="25">
        <f>$B53*'Walgreens National Payments'!G$22</f>
        <v>9955.7054331648815</v>
      </c>
      <c r="J53" s="25">
        <f>$B53*'Walgreens National Payments'!H$22</f>
        <v>9955.7054331648815</v>
      </c>
      <c r="K53" s="25">
        <f>$B53*'Walgreens National Payments'!I$22</f>
        <v>9955.7054331648815</v>
      </c>
      <c r="L53" s="25">
        <f>$B53*'Walgreens National Payments'!J$22</f>
        <v>15082.875380101605</v>
      </c>
      <c r="M53" s="25">
        <f>$B53*'Walgreens National Payments'!K$22</f>
        <v>15082.875380101605</v>
      </c>
      <c r="N53" s="25">
        <f>$B53*'Walgreens National Payments'!L$22</f>
        <v>15082.875380101605</v>
      </c>
      <c r="O53" s="25">
        <f>$B53*'Walgreens National Payments'!M$22</f>
        <v>15082.875380101605</v>
      </c>
      <c r="P53" s="25">
        <f>$B53*'Walgreens National Payments'!N$22</f>
        <v>15082.875380101605</v>
      </c>
      <c r="Q53" s="25">
        <f>$B53*'Walgreens National Payments'!O$22</f>
        <v>15082.875380101605</v>
      </c>
      <c r="R53" s="25">
        <f>$B53*'Walgreens National Payments'!P$22</f>
        <v>15082.875380101605</v>
      </c>
      <c r="S53" s="25">
        <f>$B53*'Walgreens National Payments'!Q$22</f>
        <v>15082.875380101605</v>
      </c>
      <c r="T53" s="26" t="s">
        <v>346</v>
      </c>
      <c r="U53" s="26">
        <f t="shared" si="0"/>
        <v>191729.60020663726</v>
      </c>
    </row>
    <row r="54" spans="1:21" x14ac:dyDescent="0.35">
      <c r="A54" s="3" t="s">
        <v>34</v>
      </c>
      <c r="B54" s="16">
        <v>1.3949733207608273E-4</v>
      </c>
      <c r="C54" s="8" t="s">
        <v>79</v>
      </c>
      <c r="D54" s="33" t="str">
        <f t="shared" si="1"/>
        <v>No</v>
      </c>
      <c r="E54" s="25">
        <v>682.09</v>
      </c>
      <c r="F54" s="25">
        <v>378.56</v>
      </c>
      <c r="G54" s="25">
        <f>$B54*'Walgreens National Payments'!E$22</f>
        <v>496.03032347269908</v>
      </c>
      <c r="H54" s="25">
        <f>$B54*'Walgreens National Payments'!F$22</f>
        <v>496.03032347269908</v>
      </c>
      <c r="I54" s="25">
        <f>$B54*'Walgreens National Payments'!G$22</f>
        <v>496.03032347269908</v>
      </c>
      <c r="J54" s="25">
        <f>$B54*'Walgreens National Payments'!H$22</f>
        <v>496.03032347269908</v>
      </c>
      <c r="K54" s="25">
        <f>$B54*'Walgreens National Payments'!I$22</f>
        <v>496.03032347269908</v>
      </c>
      <c r="L54" s="25">
        <f>$B54*'Walgreens National Payments'!J$22</f>
        <v>751.48502573883877</v>
      </c>
      <c r="M54" s="25">
        <f>$B54*'Walgreens National Payments'!K$22</f>
        <v>751.48502573883877</v>
      </c>
      <c r="N54" s="25">
        <f>$B54*'Walgreens National Payments'!L$22</f>
        <v>751.48502573883877</v>
      </c>
      <c r="O54" s="25">
        <f>$B54*'Walgreens National Payments'!M$22</f>
        <v>751.48502573883877</v>
      </c>
      <c r="P54" s="25">
        <f>$B54*'Walgreens National Payments'!N$22</f>
        <v>751.48502573883877</v>
      </c>
      <c r="Q54" s="25">
        <f>$B54*'Walgreens National Payments'!O$22</f>
        <v>751.48502573883877</v>
      </c>
      <c r="R54" s="25">
        <f>$B54*'Walgreens National Payments'!P$22</f>
        <v>751.48502573883877</v>
      </c>
      <c r="S54" s="25">
        <f>$B54*'Walgreens National Payments'!Q$22</f>
        <v>751.48502573883877</v>
      </c>
      <c r="T54" s="26" t="s">
        <v>346</v>
      </c>
      <c r="U54" s="26">
        <f t="shared" si="0"/>
        <v>9552.6818232742062</v>
      </c>
    </row>
    <row r="55" spans="1:21" x14ac:dyDescent="0.35">
      <c r="A55" s="3" t="s">
        <v>75</v>
      </c>
      <c r="B55" s="16">
        <v>6.5243179433600003E-3</v>
      </c>
      <c r="C55" s="8" t="s">
        <v>80</v>
      </c>
      <c r="D55" s="33" t="str">
        <f t="shared" si="1"/>
        <v>No</v>
      </c>
      <c r="E55" s="25">
        <v>31901.57</v>
      </c>
      <c r="F55" s="25">
        <v>17705.28</v>
      </c>
      <c r="G55" s="25">
        <f>$B55*'Walgreens National Payments'!E$22</f>
        <v>23199.436804415149</v>
      </c>
      <c r="H55" s="25">
        <f>$B55*'Walgreens National Payments'!F$22</f>
        <v>23199.436804415149</v>
      </c>
      <c r="I55" s="25">
        <f>$B55*'Walgreens National Payments'!G$22</f>
        <v>23199.436804415149</v>
      </c>
      <c r="J55" s="25">
        <f>$B55*'Walgreens National Payments'!H$22</f>
        <v>23199.436804415149</v>
      </c>
      <c r="K55" s="25">
        <f>$B55*'Walgreens National Payments'!I$22</f>
        <v>23199.436804415149</v>
      </c>
      <c r="L55" s="25">
        <f>$B55*'Walgreens National Payments'!J$22</f>
        <v>35147.103995653262</v>
      </c>
      <c r="M55" s="25">
        <f>$B55*'Walgreens National Payments'!K$22</f>
        <v>35147.103995653262</v>
      </c>
      <c r="N55" s="25">
        <f>$B55*'Walgreens National Payments'!L$22</f>
        <v>35147.103995653262</v>
      </c>
      <c r="O55" s="25">
        <f>$B55*'Walgreens National Payments'!M$22</f>
        <v>35147.103995653262</v>
      </c>
      <c r="P55" s="25">
        <f>$B55*'Walgreens National Payments'!N$22</f>
        <v>35147.103995653262</v>
      </c>
      <c r="Q55" s="25">
        <f>$B55*'Walgreens National Payments'!O$22</f>
        <v>35147.103995653262</v>
      </c>
      <c r="R55" s="25">
        <f>$B55*'Walgreens National Payments'!P$22</f>
        <v>35147.103995653262</v>
      </c>
      <c r="S55" s="25">
        <f>$B55*'Walgreens National Payments'!Q$22</f>
        <v>35147.103995653262</v>
      </c>
      <c r="T55" s="26" t="s">
        <v>346</v>
      </c>
      <c r="U55" s="26">
        <f t="shared" si="0"/>
        <v>446780.86598730192</v>
      </c>
    </row>
    <row r="56" spans="1:21" x14ac:dyDescent="0.35">
      <c r="A56" s="3" t="s">
        <v>40</v>
      </c>
      <c r="B56" s="16">
        <v>5.4026690121600001E-3</v>
      </c>
      <c r="C56" s="8" t="s">
        <v>40</v>
      </c>
      <c r="D56" s="33" t="str">
        <f t="shared" si="1"/>
        <v>No</v>
      </c>
      <c r="E56" s="25">
        <v>26417.11</v>
      </c>
      <c r="F56" s="25">
        <v>14661.42</v>
      </c>
      <c r="G56" s="25">
        <f>$B56*'Walgreens National Payments'!E$22</f>
        <v>19211.031622139017</v>
      </c>
      <c r="H56" s="25">
        <f>$B56*'Walgreens National Payments'!F$22</f>
        <v>19211.031622139017</v>
      </c>
      <c r="I56" s="25">
        <f>$B56*'Walgreens National Payments'!G$22</f>
        <v>19211.031622139017</v>
      </c>
      <c r="J56" s="25">
        <f>$B56*'Walgreens National Payments'!H$22</f>
        <v>19211.031622139017</v>
      </c>
      <c r="K56" s="25">
        <f>$B56*'Walgreens National Payments'!I$22</f>
        <v>19211.031622139017</v>
      </c>
      <c r="L56" s="25">
        <f>$B56*'Walgreens National Payments'!J$22</f>
        <v>29104.677496248609</v>
      </c>
      <c r="M56" s="25">
        <f>$B56*'Walgreens National Payments'!K$22</f>
        <v>29104.677496248609</v>
      </c>
      <c r="N56" s="25">
        <f>$B56*'Walgreens National Payments'!L$22</f>
        <v>29104.677496248609</v>
      </c>
      <c r="O56" s="25">
        <f>$B56*'Walgreens National Payments'!M$22</f>
        <v>29104.677496248609</v>
      </c>
      <c r="P56" s="25">
        <f>$B56*'Walgreens National Payments'!N$22</f>
        <v>29104.677496248609</v>
      </c>
      <c r="Q56" s="25">
        <f>$B56*'Walgreens National Payments'!O$22</f>
        <v>29104.677496248609</v>
      </c>
      <c r="R56" s="25">
        <f>$B56*'Walgreens National Payments'!P$22</f>
        <v>29104.677496248609</v>
      </c>
      <c r="S56" s="25">
        <f>$B56*'Walgreens National Payments'!Q$22</f>
        <v>29104.677496248609</v>
      </c>
      <c r="T56" s="26" t="s">
        <v>346</v>
      </c>
      <c r="U56" s="26">
        <f t="shared" si="0"/>
        <v>369971.10808068403</v>
      </c>
    </row>
    <row r="57" spans="1:21" x14ac:dyDescent="0.35">
      <c r="A57" s="3" t="s">
        <v>58</v>
      </c>
      <c r="B57" s="16">
        <v>7.7283577009453522E-5</v>
      </c>
      <c r="C57" s="8" t="s">
        <v>81</v>
      </c>
      <c r="D57" s="33" t="str">
        <f t="shared" si="1"/>
        <v>Yes</v>
      </c>
      <c r="E57" s="25">
        <v>5593.77</v>
      </c>
      <c r="F57" s="48">
        <v>0</v>
      </c>
      <c r="G57" s="100">
        <f>$B57*'Walgreens National Payments'!E$22</f>
        <v>274.80810659675075</v>
      </c>
      <c r="H57" s="100">
        <f>$B57*'Walgreens National Payments'!F$22</f>
        <v>274.80810659675075</v>
      </c>
      <c r="I57" s="100">
        <f>$B57*'Walgreens National Payments'!G$22</f>
        <v>274.80810659675075</v>
      </c>
      <c r="J57" s="100">
        <f>$B57*'Walgreens National Payments'!H$22</f>
        <v>274.80810659675075</v>
      </c>
      <c r="K57" s="100">
        <f>$B57*'Walgreens National Payments'!I$22</f>
        <v>274.80810659675075</v>
      </c>
      <c r="L57" s="100">
        <f>$B57*'Walgreens National Payments'!J$22</f>
        <v>416.33377494605338</v>
      </c>
      <c r="M57" s="100">
        <f>$B57*'Walgreens National Payments'!K$22</f>
        <v>416.33377494605338</v>
      </c>
      <c r="N57" s="100">
        <f>$B57*'Walgreens National Payments'!L$22</f>
        <v>416.33377494605338</v>
      </c>
      <c r="O57" s="100">
        <f>$B57*'Walgreens National Payments'!M$22</f>
        <v>416.33377494605338</v>
      </c>
      <c r="P57" s="100">
        <f>$B57*'Walgreens National Payments'!N$22</f>
        <v>416.33377494605338</v>
      </c>
      <c r="Q57" s="100">
        <f>$B57*'Walgreens National Payments'!O$22</f>
        <v>416.33377494605338</v>
      </c>
      <c r="R57" s="100">
        <f>$B57*'Walgreens National Payments'!P$22</f>
        <v>416.33377494605338</v>
      </c>
      <c r="S57" s="100">
        <f>$B57*'Walgreens National Payments'!Q$22</f>
        <v>416.33377494605338</v>
      </c>
      <c r="T57" s="26" t="s">
        <v>346</v>
      </c>
      <c r="U57" s="26">
        <f t="shared" si="0"/>
        <v>10298.480732552182</v>
      </c>
    </row>
    <row r="58" spans="1:21" x14ac:dyDescent="0.35">
      <c r="A58" s="3" t="s">
        <v>34</v>
      </c>
      <c r="B58" s="16">
        <v>1.9885436190897308E-4</v>
      </c>
      <c r="C58" s="8" t="s">
        <v>82</v>
      </c>
      <c r="D58" s="8" t="s">
        <v>337</v>
      </c>
      <c r="E58" s="25">
        <v>0</v>
      </c>
      <c r="F58" s="25">
        <v>0</v>
      </c>
      <c r="G58" s="25">
        <f>$B58*'Walgreens National Payments'!E$22</f>
        <v>707.09447982752397</v>
      </c>
      <c r="H58" s="25">
        <f>$B58*'Walgreens National Payments'!F$22</f>
        <v>707.09447982752397</v>
      </c>
      <c r="I58" s="25">
        <f>$B58*'Walgreens National Payments'!G$22</f>
        <v>707.09447982752397</v>
      </c>
      <c r="J58" s="25">
        <f>$B58*'Walgreens National Payments'!H$22</f>
        <v>707.09447982752397</v>
      </c>
      <c r="K58" s="25">
        <f>$B58*'Walgreens National Payments'!I$22</f>
        <v>707.09447982752397</v>
      </c>
      <c r="L58" s="25">
        <f>$B58*'Walgreens National Payments'!J$22</f>
        <v>1071.246833566262</v>
      </c>
      <c r="M58" s="25">
        <f>$B58*'Walgreens National Payments'!K$22</f>
        <v>1071.246833566262</v>
      </c>
      <c r="N58" s="25">
        <f>$B58*'Walgreens National Payments'!L$22</f>
        <v>1071.246833566262</v>
      </c>
      <c r="O58" s="25">
        <f>$B58*'Walgreens National Payments'!M$22</f>
        <v>1071.246833566262</v>
      </c>
      <c r="P58" s="25">
        <f>$B58*'Walgreens National Payments'!N$22</f>
        <v>1071.246833566262</v>
      </c>
      <c r="Q58" s="25">
        <f>$B58*'Walgreens National Payments'!O$22</f>
        <v>1071.246833566262</v>
      </c>
      <c r="R58" s="25">
        <f>$B58*'Walgreens National Payments'!P$22</f>
        <v>1071.246833566262</v>
      </c>
      <c r="S58" s="25">
        <f>$B58*'Walgreens National Payments'!Q$22</f>
        <v>1071.246833566262</v>
      </c>
      <c r="T58" s="26" t="s">
        <v>346</v>
      </c>
      <c r="U58" s="26">
        <f t="shared" si="0"/>
        <v>12105.447067667714</v>
      </c>
    </row>
    <row r="59" spans="1:21" x14ac:dyDescent="0.35">
      <c r="A59" s="3" t="s">
        <v>83</v>
      </c>
      <c r="B59" s="16">
        <v>8.4518667745893796E-5</v>
      </c>
      <c r="C59" s="8" t="s">
        <v>84</v>
      </c>
      <c r="D59" s="33" t="str">
        <f t="shared" si="1"/>
        <v>No</v>
      </c>
      <c r="E59" s="25">
        <v>413.27</v>
      </c>
      <c r="F59" s="25">
        <v>229.36</v>
      </c>
      <c r="G59" s="25">
        <f>$B59*'Walgreens National Payments'!E$22</f>
        <v>300.53493839302791</v>
      </c>
      <c r="H59" s="25">
        <f>$B59*'Walgreens National Payments'!F$22</f>
        <v>300.53493839302791</v>
      </c>
      <c r="I59" s="25">
        <f>$B59*'Walgreens National Payments'!G$22</f>
        <v>300.53493839302791</v>
      </c>
      <c r="J59" s="25">
        <f>$B59*'Walgreens National Payments'!H$22</f>
        <v>300.53493839302791</v>
      </c>
      <c r="K59" s="25">
        <f>$B59*'Walgreens National Payments'!I$22</f>
        <v>300.53493839302791</v>
      </c>
      <c r="L59" s="25">
        <f>$B59*'Walgreens National Payments'!J$22</f>
        <v>455.30987769568338</v>
      </c>
      <c r="M59" s="25">
        <f>$B59*'Walgreens National Payments'!K$22</f>
        <v>455.30987769568338</v>
      </c>
      <c r="N59" s="25">
        <f>$B59*'Walgreens National Payments'!L$22</f>
        <v>455.30987769568338</v>
      </c>
      <c r="O59" s="25">
        <f>$B59*'Walgreens National Payments'!M$22</f>
        <v>455.30987769568338</v>
      </c>
      <c r="P59" s="25">
        <f>$B59*'Walgreens National Payments'!N$22</f>
        <v>455.30987769568338</v>
      </c>
      <c r="Q59" s="25">
        <f>$B59*'Walgreens National Payments'!O$22</f>
        <v>455.30987769568338</v>
      </c>
      <c r="R59" s="25">
        <f>$B59*'Walgreens National Payments'!P$22</f>
        <v>455.30987769568338</v>
      </c>
      <c r="S59" s="25">
        <f>$B59*'Walgreens National Payments'!Q$22</f>
        <v>455.30987769568338</v>
      </c>
      <c r="T59" s="26" t="s">
        <v>346</v>
      </c>
      <c r="U59" s="26">
        <f t="shared" si="0"/>
        <v>5787.7837135306063</v>
      </c>
    </row>
    <row r="60" spans="1:21" x14ac:dyDescent="0.35">
      <c r="A60" s="3" t="s">
        <v>83</v>
      </c>
      <c r="B60" s="16">
        <v>9.5907662226293643E-6</v>
      </c>
      <c r="C60" s="8" t="s">
        <v>85</v>
      </c>
      <c r="D60" s="33" t="str">
        <f t="shared" si="1"/>
        <v>Yes</v>
      </c>
      <c r="E60" s="25">
        <v>694.18</v>
      </c>
      <c r="F60" s="48">
        <v>0</v>
      </c>
      <c r="G60" s="100">
        <f>$B60*'Walgreens National Payments'!E$22</f>
        <v>34.10323911547794</v>
      </c>
      <c r="H60" s="100">
        <f>$B60*'Walgreens National Payments'!F$22</f>
        <v>34.10323911547794</v>
      </c>
      <c r="I60" s="100">
        <f>$B60*'Walgreens National Payments'!G$22</f>
        <v>34.10323911547794</v>
      </c>
      <c r="J60" s="100">
        <f>$B60*'Walgreens National Payments'!H$22</f>
        <v>34.10323911547794</v>
      </c>
      <c r="K60" s="100">
        <f>$B60*'Walgreens National Payments'!I$22</f>
        <v>34.10323911547794</v>
      </c>
      <c r="L60" s="100">
        <f>$B60*'Walgreens National Payments'!J$22</f>
        <v>51.666344398163091</v>
      </c>
      <c r="M60" s="100">
        <f>$B60*'Walgreens National Payments'!K$22</f>
        <v>51.666344398163091</v>
      </c>
      <c r="N60" s="100">
        <f>$B60*'Walgreens National Payments'!L$22</f>
        <v>51.666344398163091</v>
      </c>
      <c r="O60" s="100">
        <f>$B60*'Walgreens National Payments'!M$22</f>
        <v>51.666344398163091</v>
      </c>
      <c r="P60" s="100">
        <f>$B60*'Walgreens National Payments'!N$22</f>
        <v>51.666344398163091</v>
      </c>
      <c r="Q60" s="100">
        <f>$B60*'Walgreens National Payments'!O$22</f>
        <v>51.666344398163091</v>
      </c>
      <c r="R60" s="100">
        <f>$B60*'Walgreens National Payments'!P$22</f>
        <v>51.666344398163091</v>
      </c>
      <c r="S60" s="100">
        <f>$B60*'Walgreens National Payments'!Q$22</f>
        <v>51.666344398163091</v>
      </c>
      <c r="T60" s="26" t="s">
        <v>346</v>
      </c>
      <c r="U60" s="26">
        <f t="shared" si="0"/>
        <v>1278.0269507626942</v>
      </c>
    </row>
    <row r="61" spans="1:21" x14ac:dyDescent="0.35">
      <c r="A61" s="3" t="s">
        <v>86</v>
      </c>
      <c r="B61" s="16">
        <v>2.88625325072E-3</v>
      </c>
      <c r="C61" s="8" t="s">
        <v>86</v>
      </c>
      <c r="D61" s="33" t="str">
        <f t="shared" si="1"/>
        <v>No</v>
      </c>
      <c r="E61" s="25">
        <v>14112.74</v>
      </c>
      <c r="F61" s="25">
        <v>7832.53</v>
      </c>
      <c r="G61" s="25">
        <f>$B61*'Walgreens National Payments'!E$22</f>
        <v>10263.057452582172</v>
      </c>
      <c r="H61" s="25">
        <f>$B61*'Walgreens National Payments'!F$22</f>
        <v>10263.057452582172</v>
      </c>
      <c r="I61" s="25">
        <f>$B61*'Walgreens National Payments'!G$22</f>
        <v>10263.057452582172</v>
      </c>
      <c r="J61" s="25">
        <f>$B61*'Walgreens National Payments'!H$22</f>
        <v>10263.057452582172</v>
      </c>
      <c r="K61" s="25">
        <f>$B61*'Walgreens National Payments'!I$22</f>
        <v>10263.057452582172</v>
      </c>
      <c r="L61" s="25">
        <f>$B61*'Walgreens National Payments'!J$22</f>
        <v>15548.51312298326</v>
      </c>
      <c r="M61" s="25">
        <f>$B61*'Walgreens National Payments'!K$22</f>
        <v>15548.51312298326</v>
      </c>
      <c r="N61" s="25">
        <f>$B61*'Walgreens National Payments'!L$22</f>
        <v>15548.51312298326</v>
      </c>
      <c r="O61" s="25">
        <f>$B61*'Walgreens National Payments'!M$22</f>
        <v>15548.51312298326</v>
      </c>
      <c r="P61" s="25">
        <f>$B61*'Walgreens National Payments'!N$22</f>
        <v>15548.51312298326</v>
      </c>
      <c r="Q61" s="25">
        <f>$B61*'Walgreens National Payments'!O$22</f>
        <v>15548.51312298326</v>
      </c>
      <c r="R61" s="25">
        <f>$B61*'Walgreens National Payments'!P$22</f>
        <v>15548.51312298326</v>
      </c>
      <c r="S61" s="25">
        <f>$B61*'Walgreens National Payments'!Q$22</f>
        <v>15548.51312298326</v>
      </c>
      <c r="T61" s="26" t="s">
        <v>346</v>
      </c>
      <c r="U61" s="26">
        <f t="shared" si="0"/>
        <v>197648.66224677689</v>
      </c>
    </row>
    <row r="62" spans="1:21" x14ac:dyDescent="0.35">
      <c r="A62" s="3" t="s">
        <v>63</v>
      </c>
      <c r="B62" s="16">
        <v>8.8446355339343792E-5</v>
      </c>
      <c r="C62" s="8" t="s">
        <v>87</v>
      </c>
      <c r="D62" s="33" t="str">
        <f t="shared" si="1"/>
        <v>No</v>
      </c>
      <c r="E62" s="25">
        <v>432.47</v>
      </c>
      <c r="F62" s="25">
        <v>240.02</v>
      </c>
      <c r="G62" s="25">
        <f>$B62*'Walgreens National Payments'!E$22</f>
        <v>314.50117071076227</v>
      </c>
      <c r="H62" s="25">
        <f>$B62*'Walgreens National Payments'!F$22</f>
        <v>314.50117071076227</v>
      </c>
      <c r="I62" s="25">
        <f>$B62*'Walgreens National Payments'!G$22</f>
        <v>314.50117071076227</v>
      </c>
      <c r="J62" s="25">
        <f>$B62*'Walgreens National Payments'!H$22</f>
        <v>314.50117071076227</v>
      </c>
      <c r="K62" s="25">
        <f>$B62*'Walgreens National Payments'!I$22</f>
        <v>314.50117071076227</v>
      </c>
      <c r="L62" s="25">
        <f>$B62*'Walgreens National Payments'!J$22</f>
        <v>476.4686939133876</v>
      </c>
      <c r="M62" s="25">
        <f>$B62*'Walgreens National Payments'!K$22</f>
        <v>476.4686939133876</v>
      </c>
      <c r="N62" s="25">
        <f>$B62*'Walgreens National Payments'!L$22</f>
        <v>476.4686939133876</v>
      </c>
      <c r="O62" s="25">
        <f>$B62*'Walgreens National Payments'!M$22</f>
        <v>476.4686939133876</v>
      </c>
      <c r="P62" s="25">
        <f>$B62*'Walgreens National Payments'!N$22</f>
        <v>476.4686939133876</v>
      </c>
      <c r="Q62" s="25">
        <f>$B62*'Walgreens National Payments'!O$22</f>
        <v>476.4686939133876</v>
      </c>
      <c r="R62" s="25">
        <f>$B62*'Walgreens National Payments'!P$22</f>
        <v>476.4686939133876</v>
      </c>
      <c r="S62" s="25">
        <f>$B62*'Walgreens National Payments'!Q$22</f>
        <v>476.4686939133876</v>
      </c>
      <c r="T62" s="26" t="s">
        <v>346</v>
      </c>
      <c r="U62" s="26">
        <f t="shared" si="0"/>
        <v>6056.7454048609143</v>
      </c>
    </row>
    <row r="63" spans="1:21" x14ac:dyDescent="0.35">
      <c r="A63" s="3" t="s">
        <v>22</v>
      </c>
      <c r="B63" s="16">
        <v>2.9965833191952238E-3</v>
      </c>
      <c r="C63" s="8" t="s">
        <v>88</v>
      </c>
      <c r="D63" s="33" t="str">
        <f t="shared" si="1"/>
        <v>No</v>
      </c>
      <c r="E63" s="25">
        <v>14652.22</v>
      </c>
      <c r="F63" s="25">
        <v>8131.94</v>
      </c>
      <c r="G63" s="25">
        <f>$B63*'Walgreens National Payments'!E$22</f>
        <v>10655.373626232587</v>
      </c>
      <c r="H63" s="25">
        <f>$B63*'Walgreens National Payments'!F$22</f>
        <v>10655.373626232587</v>
      </c>
      <c r="I63" s="25">
        <f>$B63*'Walgreens National Payments'!G$22</f>
        <v>10655.373626232587</v>
      </c>
      <c r="J63" s="25">
        <f>$B63*'Walgreens National Payments'!H$22</f>
        <v>10655.373626232587</v>
      </c>
      <c r="K63" s="25">
        <f>$B63*'Walgreens National Payments'!I$22</f>
        <v>10655.373626232587</v>
      </c>
      <c r="L63" s="25">
        <f>$B63*'Walgreens National Payments'!J$22</f>
        <v>16142.871402915462</v>
      </c>
      <c r="M63" s="25">
        <f>$B63*'Walgreens National Payments'!K$22</f>
        <v>16142.871402915462</v>
      </c>
      <c r="N63" s="25">
        <f>$B63*'Walgreens National Payments'!L$22</f>
        <v>16142.871402915462</v>
      </c>
      <c r="O63" s="25">
        <f>$B63*'Walgreens National Payments'!M$22</f>
        <v>16142.871402915462</v>
      </c>
      <c r="P63" s="25">
        <f>$B63*'Walgreens National Payments'!N$22</f>
        <v>16142.871402915462</v>
      </c>
      <c r="Q63" s="25">
        <f>$B63*'Walgreens National Payments'!O$22</f>
        <v>16142.871402915462</v>
      </c>
      <c r="R63" s="25">
        <f>$B63*'Walgreens National Payments'!P$22</f>
        <v>16142.871402915462</v>
      </c>
      <c r="S63" s="25">
        <f>$B63*'Walgreens National Payments'!Q$22</f>
        <v>16142.871402915462</v>
      </c>
      <c r="T63" s="26" t="s">
        <v>346</v>
      </c>
      <c r="U63" s="26">
        <f t="shared" si="0"/>
        <v>205203.99935448659</v>
      </c>
    </row>
    <row r="64" spans="1:21" x14ac:dyDescent="0.35">
      <c r="A64" s="3" t="s">
        <v>22</v>
      </c>
      <c r="B64" s="16">
        <v>1.053620174976995E-3</v>
      </c>
      <c r="C64" s="8" t="s">
        <v>89</v>
      </c>
      <c r="D64" s="33" t="str">
        <f t="shared" si="1"/>
        <v>No</v>
      </c>
      <c r="E64" s="25">
        <v>5151.82</v>
      </c>
      <c r="F64" s="25">
        <v>2859.25</v>
      </c>
      <c r="G64" s="25">
        <f>$B64*'Walgreens National Payments'!E$22</f>
        <v>3746.5057462615578</v>
      </c>
      <c r="H64" s="25">
        <f>$B64*'Walgreens National Payments'!F$22</f>
        <v>3746.5057462615578</v>
      </c>
      <c r="I64" s="25">
        <f>$B64*'Walgreens National Payments'!G$22</f>
        <v>3746.5057462615578</v>
      </c>
      <c r="J64" s="25">
        <f>$B64*'Walgreens National Payments'!H$22</f>
        <v>3746.5057462615578</v>
      </c>
      <c r="K64" s="25">
        <f>$B64*'Walgreens National Payments'!I$22</f>
        <v>3746.5057462615578</v>
      </c>
      <c r="L64" s="25">
        <f>$B64*'Walgreens National Payments'!J$22</f>
        <v>5675.9492997307298</v>
      </c>
      <c r="M64" s="25">
        <f>$B64*'Walgreens National Payments'!K$22</f>
        <v>5675.9492997307298</v>
      </c>
      <c r="N64" s="25">
        <f>$B64*'Walgreens National Payments'!L$22</f>
        <v>5675.9492997307298</v>
      </c>
      <c r="O64" s="25">
        <f>$B64*'Walgreens National Payments'!M$22</f>
        <v>5675.9492997307298</v>
      </c>
      <c r="P64" s="25">
        <f>$B64*'Walgreens National Payments'!N$22</f>
        <v>5675.9492997307298</v>
      </c>
      <c r="Q64" s="25">
        <f>$B64*'Walgreens National Payments'!O$22</f>
        <v>5675.9492997307298</v>
      </c>
      <c r="R64" s="25">
        <f>$B64*'Walgreens National Payments'!P$22</f>
        <v>5675.9492997307298</v>
      </c>
      <c r="S64" s="25">
        <f>$B64*'Walgreens National Payments'!Q$22</f>
        <v>5675.9492997307298</v>
      </c>
      <c r="T64" s="26" t="s">
        <v>346</v>
      </c>
      <c r="U64" s="26">
        <f t="shared" si="0"/>
        <v>72151.193129153631</v>
      </c>
    </row>
    <row r="65" spans="1:21" x14ac:dyDescent="0.35">
      <c r="A65" s="3" t="s">
        <v>90</v>
      </c>
      <c r="B65" s="16">
        <v>1.9675310549654214E-4</v>
      </c>
      <c r="C65" s="8" t="s">
        <v>91</v>
      </c>
      <c r="D65" s="33" t="str">
        <f t="shared" si="1"/>
        <v>No</v>
      </c>
      <c r="E65" s="25">
        <v>962.05</v>
      </c>
      <c r="F65" s="25">
        <v>533.94000000000005</v>
      </c>
      <c r="G65" s="25">
        <f>$B65*'Walgreens National Payments'!E$22</f>
        <v>699.6227462649872</v>
      </c>
      <c r="H65" s="25">
        <f>$B65*'Walgreens National Payments'!F$22</f>
        <v>699.6227462649872</v>
      </c>
      <c r="I65" s="25">
        <f>$B65*'Walgreens National Payments'!G$22</f>
        <v>699.6227462649872</v>
      </c>
      <c r="J65" s="25">
        <f>$B65*'Walgreens National Payments'!H$22</f>
        <v>699.6227462649872</v>
      </c>
      <c r="K65" s="25">
        <f>$B65*'Walgreens National Payments'!I$22</f>
        <v>699.6227462649872</v>
      </c>
      <c r="L65" s="25">
        <f>$B65*'Walgreens National Payments'!J$22</f>
        <v>1059.9271709915088</v>
      </c>
      <c r="M65" s="25">
        <f>$B65*'Walgreens National Payments'!K$22</f>
        <v>1059.9271709915088</v>
      </c>
      <c r="N65" s="25">
        <f>$B65*'Walgreens National Payments'!L$22</f>
        <v>1059.9271709915088</v>
      </c>
      <c r="O65" s="25">
        <f>$B65*'Walgreens National Payments'!M$22</f>
        <v>1059.9271709915088</v>
      </c>
      <c r="P65" s="25">
        <f>$B65*'Walgreens National Payments'!N$22</f>
        <v>1059.9271709915088</v>
      </c>
      <c r="Q65" s="25">
        <f>$B65*'Walgreens National Payments'!O$22</f>
        <v>1059.9271709915088</v>
      </c>
      <c r="R65" s="25">
        <f>$B65*'Walgreens National Payments'!P$22</f>
        <v>1059.9271709915088</v>
      </c>
      <c r="S65" s="25">
        <f>$B65*'Walgreens National Payments'!Q$22</f>
        <v>1059.9271709915088</v>
      </c>
      <c r="T65" s="26" t="s">
        <v>346</v>
      </c>
      <c r="U65" s="26">
        <f t="shared" si="0"/>
        <v>13473.521099257003</v>
      </c>
    </row>
    <row r="66" spans="1:21" x14ac:dyDescent="0.35">
      <c r="A66" s="3" t="s">
        <v>92</v>
      </c>
      <c r="B66" s="16">
        <v>4.0553892204887014E-4</v>
      </c>
      <c r="C66" s="8" t="s">
        <v>93</v>
      </c>
      <c r="D66" s="33" t="str">
        <f t="shared" si="1"/>
        <v>No</v>
      </c>
      <c r="E66" s="25">
        <v>1982.94</v>
      </c>
      <c r="F66" s="25">
        <v>1100.53</v>
      </c>
      <c r="G66" s="25">
        <f>$B66*'Walgreens National Payments'!E$22</f>
        <v>1442.031899039883</v>
      </c>
      <c r="H66" s="25">
        <f>$B66*'Walgreens National Payments'!F$22</f>
        <v>1442.031899039883</v>
      </c>
      <c r="I66" s="25">
        <f>$B66*'Walgreens National Payments'!G$22</f>
        <v>1442.031899039883</v>
      </c>
      <c r="J66" s="25">
        <f>$B66*'Walgreens National Payments'!H$22</f>
        <v>1442.031899039883</v>
      </c>
      <c r="K66" s="25">
        <f>$B66*'Walgreens National Payments'!I$22</f>
        <v>1442.031899039883</v>
      </c>
      <c r="L66" s="25">
        <f>$B66*'Walgreens National Payments'!J$22</f>
        <v>2184.6756689782424</v>
      </c>
      <c r="M66" s="25">
        <f>$B66*'Walgreens National Payments'!K$22</f>
        <v>2184.6756689782424</v>
      </c>
      <c r="N66" s="25">
        <f>$B66*'Walgreens National Payments'!L$22</f>
        <v>2184.6756689782424</v>
      </c>
      <c r="O66" s="25">
        <f>$B66*'Walgreens National Payments'!M$22</f>
        <v>2184.6756689782424</v>
      </c>
      <c r="P66" s="25">
        <f>$B66*'Walgreens National Payments'!N$22</f>
        <v>2184.6756689782424</v>
      </c>
      <c r="Q66" s="25">
        <f>$B66*'Walgreens National Payments'!O$22</f>
        <v>2184.6756689782424</v>
      </c>
      <c r="R66" s="25">
        <f>$B66*'Walgreens National Payments'!P$22</f>
        <v>2184.6756689782424</v>
      </c>
      <c r="S66" s="25">
        <f>$B66*'Walgreens National Payments'!Q$22</f>
        <v>2184.6756689782424</v>
      </c>
      <c r="T66" s="26" t="s">
        <v>346</v>
      </c>
      <c r="U66" s="26">
        <f t="shared" si="0"/>
        <v>27771.034847025348</v>
      </c>
    </row>
    <row r="67" spans="1:21" x14ac:dyDescent="0.35">
      <c r="A67" s="3" t="s">
        <v>94</v>
      </c>
      <c r="B67" s="16">
        <v>2.6044851582400002E-3</v>
      </c>
      <c r="C67" s="8" t="s">
        <v>94</v>
      </c>
      <c r="D67" s="33" t="str">
        <f t="shared" si="1"/>
        <v>No</v>
      </c>
      <c r="E67" s="25">
        <v>12735</v>
      </c>
      <c r="F67" s="25">
        <v>7067.89</v>
      </c>
      <c r="G67" s="25">
        <f>$B67*'Walgreens National Payments'!E$22</f>
        <v>9261.1349356632763</v>
      </c>
      <c r="H67" s="25">
        <f>$B67*'Walgreens National Payments'!F$22</f>
        <v>9261.1349356632763</v>
      </c>
      <c r="I67" s="25">
        <f>$B67*'Walgreens National Payments'!G$22</f>
        <v>9261.1349356632763</v>
      </c>
      <c r="J67" s="25">
        <f>$B67*'Walgreens National Payments'!H$22</f>
        <v>9261.1349356632763</v>
      </c>
      <c r="K67" s="25">
        <f>$B67*'Walgreens National Payments'!I$22</f>
        <v>9261.1349356632763</v>
      </c>
      <c r="L67" s="25">
        <f>$B67*'Walgreens National Payments'!J$22</f>
        <v>14030.602356673915</v>
      </c>
      <c r="M67" s="25">
        <f>$B67*'Walgreens National Payments'!K$22</f>
        <v>14030.602356673915</v>
      </c>
      <c r="N67" s="25">
        <f>$B67*'Walgreens National Payments'!L$22</f>
        <v>14030.602356673915</v>
      </c>
      <c r="O67" s="25">
        <f>$B67*'Walgreens National Payments'!M$22</f>
        <v>14030.602356673915</v>
      </c>
      <c r="P67" s="25">
        <f>$B67*'Walgreens National Payments'!N$22</f>
        <v>14030.602356673915</v>
      </c>
      <c r="Q67" s="25">
        <f>$B67*'Walgreens National Payments'!O$22</f>
        <v>14030.602356673915</v>
      </c>
      <c r="R67" s="25">
        <f>$B67*'Walgreens National Payments'!P$22</f>
        <v>14030.602356673915</v>
      </c>
      <c r="S67" s="25">
        <f>$B67*'Walgreens National Payments'!Q$22</f>
        <v>14030.602356673915</v>
      </c>
      <c r="T67" s="26" t="s">
        <v>346</v>
      </c>
      <c r="U67" s="26">
        <f t="shared" si="0"/>
        <v>178353.38353170772</v>
      </c>
    </row>
    <row r="68" spans="1:21" x14ac:dyDescent="0.35">
      <c r="A68" s="3" t="s">
        <v>22</v>
      </c>
      <c r="B68" s="16">
        <v>7.1316532282240011E-2</v>
      </c>
      <c r="C68" s="8" t="s">
        <v>95</v>
      </c>
      <c r="D68" s="33" t="str">
        <f t="shared" si="1"/>
        <v>No</v>
      </c>
      <c r="E68" s="25">
        <v>348712.23</v>
      </c>
      <c r="F68" s="25">
        <v>193534.33</v>
      </c>
      <c r="G68" s="25">
        <f>$B68*'Walgreens National Payments'!E$22</f>
        <v>253590.24470530276</v>
      </c>
      <c r="H68" s="25">
        <f>$B68*'Walgreens National Payments'!F$22</f>
        <v>253590.24470530276</v>
      </c>
      <c r="I68" s="25">
        <f>$B68*'Walgreens National Payments'!G$22</f>
        <v>253590.24470530276</v>
      </c>
      <c r="J68" s="25">
        <f>$B68*'Walgreens National Payments'!H$22</f>
        <v>253590.24470530276</v>
      </c>
      <c r="K68" s="25">
        <f>$B68*'Walgreens National Payments'!I$22</f>
        <v>253590.24470530276</v>
      </c>
      <c r="L68" s="25">
        <f>$B68*'Walgreens National Payments'!J$22</f>
        <v>384188.75329094985</v>
      </c>
      <c r="M68" s="25">
        <f>$B68*'Walgreens National Payments'!K$22</f>
        <v>384188.75329094985</v>
      </c>
      <c r="N68" s="25">
        <f>$B68*'Walgreens National Payments'!L$22</f>
        <v>384188.75329094985</v>
      </c>
      <c r="O68" s="25">
        <f>$B68*'Walgreens National Payments'!M$22</f>
        <v>384188.75329094985</v>
      </c>
      <c r="P68" s="25">
        <f>$B68*'Walgreens National Payments'!N$22</f>
        <v>384188.75329094985</v>
      </c>
      <c r="Q68" s="25">
        <f>$B68*'Walgreens National Payments'!O$22</f>
        <v>384188.75329094985</v>
      </c>
      <c r="R68" s="25">
        <f>$B68*'Walgreens National Payments'!P$22</f>
        <v>384188.75329094985</v>
      </c>
      <c r="S68" s="25">
        <f>$B68*'Walgreens National Payments'!Q$22</f>
        <v>384188.75329094985</v>
      </c>
      <c r="T68" s="26" t="s">
        <v>346</v>
      </c>
      <c r="U68" s="26">
        <f t="shared" ref="U68:U131" si="2">SUM(E68:S68)</f>
        <v>4883707.8098541126</v>
      </c>
    </row>
    <row r="69" spans="1:21" ht="18.75" customHeight="1" x14ac:dyDescent="0.35">
      <c r="A69" s="3" t="s">
        <v>22</v>
      </c>
      <c r="B69" s="16">
        <v>0</v>
      </c>
      <c r="C69" s="8" t="s">
        <v>96</v>
      </c>
      <c r="D69" s="33" t="str">
        <f t="shared" ref="D69:D89" si="3">IF(B69&lt;0.000083,"Yes","No")</f>
        <v>Yes</v>
      </c>
      <c r="E69" s="25">
        <v>0</v>
      </c>
      <c r="F69" s="48">
        <v>0</v>
      </c>
      <c r="G69" s="100">
        <f>$B69*'Walgreens National Payments'!E$22</f>
        <v>0</v>
      </c>
      <c r="H69" s="100">
        <f>$B69*'Walgreens National Payments'!F$22</f>
        <v>0</v>
      </c>
      <c r="I69" s="100">
        <f>$B69*'Walgreens National Payments'!G$22</f>
        <v>0</v>
      </c>
      <c r="J69" s="100">
        <f>$B69*'Walgreens National Payments'!H$22</f>
        <v>0</v>
      </c>
      <c r="K69" s="100">
        <f>$B69*'Walgreens National Payments'!I$22</f>
        <v>0</v>
      </c>
      <c r="L69" s="100">
        <f>$B69*'Walgreens National Payments'!J$22</f>
        <v>0</v>
      </c>
      <c r="M69" s="100">
        <f>$B69*'Walgreens National Payments'!K$22</f>
        <v>0</v>
      </c>
      <c r="N69" s="100">
        <f>$B69*'Walgreens National Payments'!L$22</f>
        <v>0</v>
      </c>
      <c r="O69" s="100">
        <f>$B69*'Walgreens National Payments'!M$22</f>
        <v>0</v>
      </c>
      <c r="P69" s="100">
        <f>$B69*'Walgreens National Payments'!N$22</f>
        <v>0</v>
      </c>
      <c r="Q69" s="100">
        <f>$B69*'Walgreens National Payments'!O$22</f>
        <v>0</v>
      </c>
      <c r="R69" s="100">
        <f>$B69*'Walgreens National Payments'!P$22</f>
        <v>0</v>
      </c>
      <c r="S69" s="100">
        <f>$B69*'Walgreens National Payments'!Q$22</f>
        <v>0</v>
      </c>
      <c r="T69" s="26" t="s">
        <v>346</v>
      </c>
      <c r="U69" s="26">
        <f t="shared" si="2"/>
        <v>0</v>
      </c>
    </row>
    <row r="70" spans="1:21" x14ac:dyDescent="0.35">
      <c r="A70" s="3" t="s">
        <v>40</v>
      </c>
      <c r="B70" s="16">
        <v>3.6770177791889988E-4</v>
      </c>
      <c r="C70" s="8" t="s">
        <v>97</v>
      </c>
      <c r="D70" s="33" t="str">
        <f t="shared" si="3"/>
        <v>No</v>
      </c>
      <c r="E70" s="25">
        <v>1797.93</v>
      </c>
      <c r="F70" s="25">
        <v>997.85</v>
      </c>
      <c r="G70" s="25">
        <f>$B70*'Walgreens National Payments'!E$22</f>
        <v>1307.489033145961</v>
      </c>
      <c r="H70" s="25">
        <f>$B70*'Walgreens National Payments'!F$22</f>
        <v>1307.489033145961</v>
      </c>
      <c r="I70" s="25">
        <f>$B70*'Walgreens National Payments'!G$22</f>
        <v>1307.489033145961</v>
      </c>
      <c r="J70" s="25">
        <f>$B70*'Walgreens National Payments'!H$22</f>
        <v>1307.489033145961</v>
      </c>
      <c r="K70" s="25">
        <f>$B70*'Walgreens National Payments'!I$22</f>
        <v>1307.489033145961</v>
      </c>
      <c r="L70" s="25">
        <f>$B70*'Walgreens National Payments'!J$22</f>
        <v>1980.843475148996</v>
      </c>
      <c r="M70" s="25">
        <f>$B70*'Walgreens National Payments'!K$22</f>
        <v>1980.843475148996</v>
      </c>
      <c r="N70" s="25">
        <f>$B70*'Walgreens National Payments'!L$22</f>
        <v>1980.843475148996</v>
      </c>
      <c r="O70" s="25">
        <f>$B70*'Walgreens National Payments'!M$22</f>
        <v>1980.843475148996</v>
      </c>
      <c r="P70" s="25">
        <f>$B70*'Walgreens National Payments'!N$22</f>
        <v>1980.843475148996</v>
      </c>
      <c r="Q70" s="25">
        <f>$B70*'Walgreens National Payments'!O$22</f>
        <v>1980.843475148996</v>
      </c>
      <c r="R70" s="25">
        <f>$B70*'Walgreens National Payments'!P$22</f>
        <v>1980.843475148996</v>
      </c>
      <c r="S70" s="25">
        <f>$B70*'Walgreens National Payments'!Q$22</f>
        <v>1980.843475148996</v>
      </c>
      <c r="T70" s="26" t="s">
        <v>346</v>
      </c>
      <c r="U70" s="26">
        <f t="shared" si="2"/>
        <v>25179.97296692177</v>
      </c>
    </row>
    <row r="71" spans="1:21" x14ac:dyDescent="0.35">
      <c r="A71" s="3" t="s">
        <v>98</v>
      </c>
      <c r="B71" s="16">
        <v>2.7729291699199999E-3</v>
      </c>
      <c r="C71" s="8" t="s">
        <v>98</v>
      </c>
      <c r="D71" s="33" t="str">
        <f t="shared" si="3"/>
        <v>No</v>
      </c>
      <c r="E71" s="25">
        <v>13558.63</v>
      </c>
      <c r="F71" s="25">
        <v>7525</v>
      </c>
      <c r="G71" s="25">
        <f>$B71*'Walgreens National Payments'!E$22</f>
        <v>9860.0950473527155</v>
      </c>
      <c r="H71" s="25">
        <f>$B71*'Walgreens National Payments'!F$22</f>
        <v>9860.0950473527155</v>
      </c>
      <c r="I71" s="25">
        <f>$B71*'Walgreens National Payments'!G$22</f>
        <v>9860.0950473527155</v>
      </c>
      <c r="J71" s="25">
        <f>$B71*'Walgreens National Payments'!H$22</f>
        <v>9860.0950473527155</v>
      </c>
      <c r="K71" s="25">
        <f>$B71*'Walgreens National Payments'!I$22</f>
        <v>9860.0950473527155</v>
      </c>
      <c r="L71" s="25">
        <f>$B71*'Walgreens National Payments'!J$22</f>
        <v>14938.025821832793</v>
      </c>
      <c r="M71" s="25">
        <f>$B71*'Walgreens National Payments'!K$22</f>
        <v>14938.025821832793</v>
      </c>
      <c r="N71" s="25">
        <f>$B71*'Walgreens National Payments'!L$22</f>
        <v>14938.025821832793</v>
      </c>
      <c r="O71" s="25">
        <f>$B71*'Walgreens National Payments'!M$22</f>
        <v>14938.025821832793</v>
      </c>
      <c r="P71" s="25">
        <f>$B71*'Walgreens National Payments'!N$22</f>
        <v>14938.025821832793</v>
      </c>
      <c r="Q71" s="25">
        <f>$B71*'Walgreens National Payments'!O$22</f>
        <v>14938.025821832793</v>
      </c>
      <c r="R71" s="25">
        <f>$B71*'Walgreens National Payments'!P$22</f>
        <v>14938.025821832793</v>
      </c>
      <c r="S71" s="25">
        <f>$B71*'Walgreens National Payments'!Q$22</f>
        <v>14938.025821832793</v>
      </c>
      <c r="T71" s="26" t="s">
        <v>346</v>
      </c>
      <c r="U71" s="26">
        <f t="shared" si="2"/>
        <v>189888.31181142593</v>
      </c>
    </row>
    <row r="72" spans="1:21" x14ac:dyDescent="0.35">
      <c r="A72" s="3" t="s">
        <v>99</v>
      </c>
      <c r="B72" s="16">
        <v>1.4646766740742973E-5</v>
      </c>
      <c r="C72" s="8" t="s">
        <v>100</v>
      </c>
      <c r="D72" s="33" t="str">
        <f t="shared" si="3"/>
        <v>Yes</v>
      </c>
      <c r="E72" s="25">
        <v>1060.1300000000001</v>
      </c>
      <c r="F72" s="48">
        <v>0</v>
      </c>
      <c r="G72" s="100">
        <f>$B72*'Walgreens National Payments'!E$22</f>
        <v>52.081572716225132</v>
      </c>
      <c r="H72" s="100">
        <f>$B72*'Walgreens National Payments'!F$22</f>
        <v>52.081572716225132</v>
      </c>
      <c r="I72" s="100">
        <f>$B72*'Walgreens National Payments'!G$22</f>
        <v>52.081572716225132</v>
      </c>
      <c r="J72" s="100">
        <f>$B72*'Walgreens National Payments'!H$22</f>
        <v>52.081572716225132</v>
      </c>
      <c r="K72" s="100">
        <f>$B72*'Walgreens National Payments'!I$22</f>
        <v>52.081572716225132</v>
      </c>
      <c r="L72" s="100">
        <f>$B72*'Walgreens National Payments'!J$22</f>
        <v>78.90348666420951</v>
      </c>
      <c r="M72" s="100">
        <f>$B72*'Walgreens National Payments'!K$22</f>
        <v>78.90348666420951</v>
      </c>
      <c r="N72" s="100">
        <f>$B72*'Walgreens National Payments'!L$22</f>
        <v>78.90348666420951</v>
      </c>
      <c r="O72" s="100">
        <f>$B72*'Walgreens National Payments'!M$22</f>
        <v>78.90348666420951</v>
      </c>
      <c r="P72" s="100">
        <f>$B72*'Walgreens National Payments'!N$22</f>
        <v>78.90348666420951</v>
      </c>
      <c r="Q72" s="100">
        <f>$B72*'Walgreens National Payments'!O$22</f>
        <v>78.90348666420951</v>
      </c>
      <c r="R72" s="100">
        <f>$B72*'Walgreens National Payments'!P$22</f>
        <v>78.90348666420951</v>
      </c>
      <c r="S72" s="100">
        <f>$B72*'Walgreens National Payments'!Q$22</f>
        <v>78.90348666420951</v>
      </c>
      <c r="T72" s="26" t="s">
        <v>346</v>
      </c>
      <c r="U72" s="26">
        <f t="shared" si="2"/>
        <v>1951.7657568948023</v>
      </c>
    </row>
    <row r="73" spans="1:21" x14ac:dyDescent="0.35">
      <c r="A73" s="3" t="s">
        <v>14</v>
      </c>
      <c r="B73" s="16">
        <v>2.0735405898422254E-4</v>
      </c>
      <c r="C73" s="8" t="s">
        <v>101</v>
      </c>
      <c r="D73" s="33" t="str">
        <f t="shared" si="3"/>
        <v>No</v>
      </c>
      <c r="E73" s="25">
        <v>1013.89</v>
      </c>
      <c r="F73" s="25">
        <v>562.70000000000005</v>
      </c>
      <c r="G73" s="25">
        <f>$B73*'Walgreens National Payments'!E$22</f>
        <v>737.31805060776264</v>
      </c>
      <c r="H73" s="25">
        <f>$B73*'Walgreens National Payments'!F$22</f>
        <v>737.31805060776264</v>
      </c>
      <c r="I73" s="25">
        <f>$B73*'Walgreens National Payments'!G$22</f>
        <v>737.31805060776264</v>
      </c>
      <c r="J73" s="25">
        <f>$B73*'Walgreens National Payments'!H$22</f>
        <v>737.31805060776264</v>
      </c>
      <c r="K73" s="25">
        <f>$B73*'Walgreens National Payments'!I$22</f>
        <v>737.31805060776264</v>
      </c>
      <c r="L73" s="25">
        <f>$B73*'Walgreens National Payments'!J$22</f>
        <v>1117.035487587849</v>
      </c>
      <c r="M73" s="25">
        <f>$B73*'Walgreens National Payments'!K$22</f>
        <v>1117.035487587849</v>
      </c>
      <c r="N73" s="25">
        <f>$B73*'Walgreens National Payments'!L$22</f>
        <v>1117.035487587849</v>
      </c>
      <c r="O73" s="25">
        <f>$B73*'Walgreens National Payments'!M$22</f>
        <v>1117.035487587849</v>
      </c>
      <c r="P73" s="25">
        <f>$B73*'Walgreens National Payments'!N$22</f>
        <v>1117.035487587849</v>
      </c>
      <c r="Q73" s="25">
        <f>$B73*'Walgreens National Payments'!O$22</f>
        <v>1117.035487587849</v>
      </c>
      <c r="R73" s="25">
        <f>$B73*'Walgreens National Payments'!P$22</f>
        <v>1117.035487587849</v>
      </c>
      <c r="S73" s="25">
        <f>$B73*'Walgreens National Payments'!Q$22</f>
        <v>1117.035487587849</v>
      </c>
      <c r="T73" s="26" t="s">
        <v>346</v>
      </c>
      <c r="U73" s="26">
        <f t="shared" si="2"/>
        <v>14199.464153741606</v>
      </c>
    </row>
    <row r="74" spans="1:21" x14ac:dyDescent="0.35">
      <c r="A74" s="3" t="s">
        <v>102</v>
      </c>
      <c r="B74" s="16">
        <v>1.9287731411200004E-3</v>
      </c>
      <c r="C74" s="8" t="s">
        <v>103</v>
      </c>
      <c r="D74" s="33" t="str">
        <f t="shared" si="3"/>
        <v>No</v>
      </c>
      <c r="E74" s="25">
        <v>9431.01</v>
      </c>
      <c r="F74" s="25">
        <v>5234.18</v>
      </c>
      <c r="G74" s="25">
        <f>$B74*'Walgreens National Payments'!E$22</f>
        <v>6858.4104861116703</v>
      </c>
      <c r="H74" s="25">
        <f>$B74*'Walgreens National Payments'!F$22</f>
        <v>6858.4104861116703</v>
      </c>
      <c r="I74" s="25">
        <f>$B74*'Walgreens National Payments'!G$22</f>
        <v>6858.4104861116703</v>
      </c>
      <c r="J74" s="25">
        <f>$B74*'Walgreens National Payments'!H$22</f>
        <v>6858.4104861116703</v>
      </c>
      <c r="K74" s="25">
        <f>$B74*'Walgreens National Payments'!I$22</f>
        <v>6858.4104861116703</v>
      </c>
      <c r="L74" s="25">
        <f>$B74*'Walgreens National Payments'!J$22</f>
        <v>10390.479244494858</v>
      </c>
      <c r="M74" s="25">
        <f>$B74*'Walgreens National Payments'!K$22</f>
        <v>10390.479244494858</v>
      </c>
      <c r="N74" s="25">
        <f>$B74*'Walgreens National Payments'!L$22</f>
        <v>10390.479244494858</v>
      </c>
      <c r="O74" s="25">
        <f>$B74*'Walgreens National Payments'!M$22</f>
        <v>10390.479244494858</v>
      </c>
      <c r="P74" s="25">
        <f>$B74*'Walgreens National Payments'!N$22</f>
        <v>10390.479244494858</v>
      </c>
      <c r="Q74" s="25">
        <f>$B74*'Walgreens National Payments'!O$22</f>
        <v>10390.479244494858</v>
      </c>
      <c r="R74" s="25">
        <f>$B74*'Walgreens National Payments'!P$22</f>
        <v>10390.479244494858</v>
      </c>
      <c r="S74" s="25">
        <f>$B74*'Walgreens National Payments'!Q$22</f>
        <v>10390.479244494858</v>
      </c>
      <c r="T74" s="26" t="s">
        <v>346</v>
      </c>
      <c r="U74" s="26">
        <f t="shared" si="2"/>
        <v>132081.0763865172</v>
      </c>
    </row>
    <row r="75" spans="1:21" x14ac:dyDescent="0.35">
      <c r="A75" s="3" t="s">
        <v>75</v>
      </c>
      <c r="B75" s="16">
        <v>1.6772498197081106E-3</v>
      </c>
      <c r="C75" s="8" t="s">
        <v>104</v>
      </c>
      <c r="D75" s="33" t="str">
        <f t="shared" si="3"/>
        <v>No</v>
      </c>
      <c r="E75" s="25">
        <v>8201.15</v>
      </c>
      <c r="F75" s="25">
        <v>4551.62</v>
      </c>
      <c r="G75" s="25">
        <f>$B75*'Walgreens National Payments'!E$22</f>
        <v>5964.0335641729716</v>
      </c>
      <c r="H75" s="25">
        <f>$B75*'Walgreens National Payments'!F$22</f>
        <v>5964.0335641729716</v>
      </c>
      <c r="I75" s="25">
        <f>$B75*'Walgreens National Payments'!G$22</f>
        <v>5964.0335641729716</v>
      </c>
      <c r="J75" s="25">
        <f>$B75*'Walgreens National Payments'!H$22</f>
        <v>5964.0335641729716</v>
      </c>
      <c r="K75" s="25">
        <f>$B75*'Walgreens National Payments'!I$22</f>
        <v>5964.0335641729716</v>
      </c>
      <c r="L75" s="25">
        <f>$B75*'Walgreens National Payments'!J$22</f>
        <v>9035.4998563439676</v>
      </c>
      <c r="M75" s="25">
        <f>$B75*'Walgreens National Payments'!K$22</f>
        <v>9035.4998563439676</v>
      </c>
      <c r="N75" s="25">
        <f>$B75*'Walgreens National Payments'!L$22</f>
        <v>9035.4998563439676</v>
      </c>
      <c r="O75" s="25">
        <f>$B75*'Walgreens National Payments'!M$22</f>
        <v>9035.4998563439676</v>
      </c>
      <c r="P75" s="25">
        <f>$B75*'Walgreens National Payments'!N$22</f>
        <v>9035.4998563439676</v>
      </c>
      <c r="Q75" s="25">
        <f>$B75*'Walgreens National Payments'!O$22</f>
        <v>9035.4998563439676</v>
      </c>
      <c r="R75" s="25">
        <f>$B75*'Walgreens National Payments'!P$22</f>
        <v>9035.4998563439676</v>
      </c>
      <c r="S75" s="25">
        <f>$B75*'Walgreens National Payments'!Q$22</f>
        <v>9035.4998563439676</v>
      </c>
      <c r="T75" s="26" t="s">
        <v>346</v>
      </c>
      <c r="U75" s="26">
        <f t="shared" si="2"/>
        <v>114856.93667161663</v>
      </c>
    </row>
    <row r="76" spans="1:21" x14ac:dyDescent="0.35">
      <c r="A76" s="3" t="s">
        <v>92</v>
      </c>
      <c r="B76" s="16">
        <v>1.0040382409120001E-2</v>
      </c>
      <c r="C76" s="8" t="s">
        <v>92</v>
      </c>
      <c r="D76" s="33" t="str">
        <f t="shared" si="3"/>
        <v>No</v>
      </c>
      <c r="E76" s="25">
        <v>49093.86</v>
      </c>
      <c r="F76" s="25">
        <v>27246.959999999999</v>
      </c>
      <c r="G76" s="25">
        <f>$B76*'Walgreens National Payments'!E$22</f>
        <v>35702.002755644717</v>
      </c>
      <c r="H76" s="25">
        <f>$B76*'Walgreens National Payments'!F$22</f>
        <v>35702.002755644717</v>
      </c>
      <c r="I76" s="25">
        <f>$B76*'Walgreens National Payments'!G$22</f>
        <v>35702.002755644717</v>
      </c>
      <c r="J76" s="25">
        <f>$B76*'Walgreens National Payments'!H$22</f>
        <v>35702.002755644717</v>
      </c>
      <c r="K76" s="25">
        <f>$B76*'Walgreens National Payments'!I$22</f>
        <v>35702.002755644717</v>
      </c>
      <c r="L76" s="25">
        <f>$B76*'Walgreens National Payments'!J$22</f>
        <v>54088.468366048241</v>
      </c>
      <c r="M76" s="25">
        <f>$B76*'Walgreens National Payments'!K$22</f>
        <v>54088.468366048241</v>
      </c>
      <c r="N76" s="25">
        <f>$B76*'Walgreens National Payments'!L$22</f>
        <v>54088.468366048241</v>
      </c>
      <c r="O76" s="25">
        <f>$B76*'Walgreens National Payments'!M$22</f>
        <v>54088.468366048241</v>
      </c>
      <c r="P76" s="25">
        <f>$B76*'Walgreens National Payments'!N$22</f>
        <v>54088.468366048241</v>
      </c>
      <c r="Q76" s="25">
        <f>$B76*'Walgreens National Payments'!O$22</f>
        <v>54088.468366048241</v>
      </c>
      <c r="R76" s="25">
        <f>$B76*'Walgreens National Payments'!P$22</f>
        <v>54088.468366048241</v>
      </c>
      <c r="S76" s="25">
        <f>$B76*'Walgreens National Payments'!Q$22</f>
        <v>54088.468366048241</v>
      </c>
      <c r="T76" s="26" t="s">
        <v>346</v>
      </c>
      <c r="U76" s="26">
        <f t="shared" si="2"/>
        <v>687558.58070660965</v>
      </c>
    </row>
    <row r="77" spans="1:21" x14ac:dyDescent="0.35">
      <c r="A77" s="3" t="s">
        <v>105</v>
      </c>
      <c r="B77" s="16">
        <v>5.9203304839503929E-5</v>
      </c>
      <c r="C77" s="8" t="s">
        <v>106</v>
      </c>
      <c r="D77" s="33" t="str">
        <f t="shared" si="3"/>
        <v>Yes</v>
      </c>
      <c r="E77" s="25">
        <v>4285.13</v>
      </c>
      <c r="F77" s="48">
        <v>0</v>
      </c>
      <c r="G77" s="100">
        <f>$B77*'Walgreens National Payments'!E$22</f>
        <v>210.5175347308807</v>
      </c>
      <c r="H77" s="100">
        <f>$B77*'Walgreens National Payments'!F$22</f>
        <v>210.5175347308807</v>
      </c>
      <c r="I77" s="100">
        <f>$B77*'Walgreens National Payments'!G$22</f>
        <v>210.5175347308807</v>
      </c>
      <c r="J77" s="100">
        <f>$B77*'Walgreens National Payments'!H$22</f>
        <v>210.5175347308807</v>
      </c>
      <c r="K77" s="100">
        <f>$B77*'Walgreens National Payments'!I$22</f>
        <v>210.5175347308807</v>
      </c>
      <c r="L77" s="100">
        <f>$B77*'Walgreens National Payments'!J$22</f>
        <v>318.93367707472413</v>
      </c>
      <c r="M77" s="100">
        <f>$B77*'Walgreens National Payments'!K$22</f>
        <v>318.93367707472413</v>
      </c>
      <c r="N77" s="100">
        <f>$B77*'Walgreens National Payments'!L$22</f>
        <v>318.93367707472413</v>
      </c>
      <c r="O77" s="100">
        <f>$B77*'Walgreens National Payments'!M$22</f>
        <v>318.93367707472413</v>
      </c>
      <c r="P77" s="100">
        <f>$B77*'Walgreens National Payments'!N$22</f>
        <v>318.93367707472413</v>
      </c>
      <c r="Q77" s="100">
        <f>$B77*'Walgreens National Payments'!O$22</f>
        <v>318.93367707472413</v>
      </c>
      <c r="R77" s="100">
        <f>$B77*'Walgreens National Payments'!P$22</f>
        <v>318.93367707472413</v>
      </c>
      <c r="S77" s="100">
        <f>$B77*'Walgreens National Payments'!Q$22</f>
        <v>318.93367707472413</v>
      </c>
      <c r="T77" s="26" t="s">
        <v>346</v>
      </c>
      <c r="U77" s="26">
        <f t="shared" si="2"/>
        <v>7889.187090252195</v>
      </c>
    </row>
    <row r="78" spans="1:21" x14ac:dyDescent="0.35">
      <c r="A78" s="3" t="s">
        <v>107</v>
      </c>
      <c r="B78" s="16">
        <v>1.8132565778312178E-3</v>
      </c>
      <c r="C78" s="8" t="s">
        <v>107</v>
      </c>
      <c r="D78" s="33" t="str">
        <f t="shared" si="3"/>
        <v>No</v>
      </c>
      <c r="E78" s="25">
        <v>8866.17</v>
      </c>
      <c r="F78" s="25">
        <v>4920.7</v>
      </c>
      <c r="G78" s="25">
        <f>$B78*'Walgreens National Payments'!E$22</f>
        <v>6447.6519619032097</v>
      </c>
      <c r="H78" s="25">
        <f>$B78*'Walgreens National Payments'!F$22</f>
        <v>6447.6519619032097</v>
      </c>
      <c r="I78" s="25">
        <f>$B78*'Walgreens National Payments'!G$22</f>
        <v>6447.6519619032097</v>
      </c>
      <c r="J78" s="25">
        <f>$B78*'Walgreens National Payments'!H$22</f>
        <v>6447.6519619032097</v>
      </c>
      <c r="K78" s="25">
        <f>$B78*'Walgreens National Payments'!I$22</f>
        <v>6447.6519619032097</v>
      </c>
      <c r="L78" s="25">
        <f>$B78*'Walgreens National Payments'!J$22</f>
        <v>9768.1808374616194</v>
      </c>
      <c r="M78" s="25">
        <f>$B78*'Walgreens National Payments'!K$22</f>
        <v>9768.1808374616194</v>
      </c>
      <c r="N78" s="25">
        <f>$B78*'Walgreens National Payments'!L$22</f>
        <v>9768.1808374616194</v>
      </c>
      <c r="O78" s="25">
        <f>$B78*'Walgreens National Payments'!M$22</f>
        <v>9768.1808374616194</v>
      </c>
      <c r="P78" s="25">
        <f>$B78*'Walgreens National Payments'!N$22</f>
        <v>9768.1808374616194</v>
      </c>
      <c r="Q78" s="25">
        <f>$B78*'Walgreens National Payments'!O$22</f>
        <v>9768.1808374616194</v>
      </c>
      <c r="R78" s="25">
        <f>$B78*'Walgreens National Payments'!P$22</f>
        <v>9768.1808374616194</v>
      </c>
      <c r="S78" s="25">
        <f>$B78*'Walgreens National Payments'!Q$22</f>
        <v>9768.1808374616194</v>
      </c>
      <c r="T78" s="26" t="s">
        <v>346</v>
      </c>
      <c r="U78" s="26">
        <f t="shared" si="2"/>
        <v>124170.57650920903</v>
      </c>
    </row>
    <row r="79" spans="1:21" x14ac:dyDescent="0.35">
      <c r="A79" s="3" t="s">
        <v>42</v>
      </c>
      <c r="B79" s="16">
        <v>8.1390405570217945E-5</v>
      </c>
      <c r="C79" s="8" t="s">
        <v>108</v>
      </c>
      <c r="D79" s="33" t="str">
        <f t="shared" si="3"/>
        <v>Yes</v>
      </c>
      <c r="E79" s="25">
        <v>5891.03</v>
      </c>
      <c r="F79" s="48">
        <v>0</v>
      </c>
      <c r="G79" s="100">
        <f>$B79*'Walgreens National Payments'!E$22</f>
        <v>289.41133569888041</v>
      </c>
      <c r="H79" s="100">
        <f>$B79*'Walgreens National Payments'!F$22</f>
        <v>289.41133569888041</v>
      </c>
      <c r="I79" s="100">
        <f>$B79*'Walgreens National Payments'!G$22</f>
        <v>289.41133569888041</v>
      </c>
      <c r="J79" s="100">
        <f>$B79*'Walgreens National Payments'!H$22</f>
        <v>289.41133569888041</v>
      </c>
      <c r="K79" s="100">
        <f>$B79*'Walgreens National Payments'!I$22</f>
        <v>289.41133569888041</v>
      </c>
      <c r="L79" s="100">
        <f>$B79*'Walgreens National Payments'!J$22</f>
        <v>438.45764011795364</v>
      </c>
      <c r="M79" s="100">
        <f>$B79*'Walgreens National Payments'!K$22</f>
        <v>438.45764011795364</v>
      </c>
      <c r="N79" s="100">
        <f>$B79*'Walgreens National Payments'!L$22</f>
        <v>438.45764011795364</v>
      </c>
      <c r="O79" s="100">
        <f>$B79*'Walgreens National Payments'!M$22</f>
        <v>438.45764011795364</v>
      </c>
      <c r="P79" s="100">
        <f>$B79*'Walgreens National Payments'!N$22</f>
        <v>438.45764011795364</v>
      </c>
      <c r="Q79" s="100">
        <f>$B79*'Walgreens National Payments'!O$22</f>
        <v>438.45764011795364</v>
      </c>
      <c r="R79" s="100">
        <f>$B79*'Walgreens National Payments'!P$22</f>
        <v>438.45764011795364</v>
      </c>
      <c r="S79" s="100">
        <f>$B79*'Walgreens National Payments'!Q$22</f>
        <v>438.45764011795364</v>
      </c>
      <c r="T79" s="26" t="s">
        <v>346</v>
      </c>
      <c r="U79" s="26">
        <f t="shared" si="2"/>
        <v>10845.747799438024</v>
      </c>
    </row>
    <row r="80" spans="1:21" x14ac:dyDescent="0.35">
      <c r="A80" s="3" t="s">
        <v>94</v>
      </c>
      <c r="B80" s="16">
        <v>1.8102084784E-4</v>
      </c>
      <c r="C80" s="8" t="s">
        <v>109</v>
      </c>
      <c r="D80" s="33" t="str">
        <f t="shared" si="3"/>
        <v>No</v>
      </c>
      <c r="E80" s="25">
        <v>885.13</v>
      </c>
      <c r="F80" s="25">
        <v>491.24</v>
      </c>
      <c r="G80" s="25">
        <f>$B80*'Walgreens National Payments'!E$22</f>
        <v>643.68134051771267</v>
      </c>
      <c r="H80" s="25">
        <f>$B80*'Walgreens National Payments'!F$22</f>
        <v>643.68134051771267</v>
      </c>
      <c r="I80" s="25">
        <f>$B80*'Walgreens National Payments'!G$22</f>
        <v>643.68134051771267</v>
      </c>
      <c r="J80" s="25">
        <f>$B80*'Walgreens National Payments'!H$22</f>
        <v>643.68134051771267</v>
      </c>
      <c r="K80" s="25">
        <f>$B80*'Walgreens National Payments'!I$22</f>
        <v>643.68134051771267</v>
      </c>
      <c r="L80" s="25">
        <f>$B80*'Walgreens National Payments'!J$22</f>
        <v>975.17604440000866</v>
      </c>
      <c r="M80" s="25">
        <f>$B80*'Walgreens National Payments'!K$22</f>
        <v>975.17604440000866</v>
      </c>
      <c r="N80" s="25">
        <f>$B80*'Walgreens National Payments'!L$22</f>
        <v>975.17604440000866</v>
      </c>
      <c r="O80" s="25">
        <f>$B80*'Walgreens National Payments'!M$22</f>
        <v>975.17604440000866</v>
      </c>
      <c r="P80" s="25">
        <f>$B80*'Walgreens National Payments'!N$22</f>
        <v>975.17604440000866</v>
      </c>
      <c r="Q80" s="25">
        <f>$B80*'Walgreens National Payments'!O$22</f>
        <v>975.17604440000866</v>
      </c>
      <c r="R80" s="25">
        <f>$B80*'Walgreens National Payments'!P$22</f>
        <v>975.17604440000866</v>
      </c>
      <c r="S80" s="25">
        <f>$B80*'Walgreens National Payments'!Q$22</f>
        <v>975.17604440000866</v>
      </c>
      <c r="T80" s="26" t="s">
        <v>346</v>
      </c>
      <c r="U80" s="26">
        <f t="shared" si="2"/>
        <v>12396.185057788631</v>
      </c>
    </row>
    <row r="81" spans="1:21" x14ac:dyDescent="0.35">
      <c r="A81" s="3" t="s">
        <v>34</v>
      </c>
      <c r="B81" s="16">
        <v>2.2024727769051096E-4</v>
      </c>
      <c r="C81" s="8" t="s">
        <v>110</v>
      </c>
      <c r="D81" s="33" t="str">
        <f t="shared" si="3"/>
        <v>No</v>
      </c>
      <c r="E81" s="25">
        <v>1076.93</v>
      </c>
      <c r="F81" s="25">
        <v>597.69000000000005</v>
      </c>
      <c r="G81" s="25">
        <f>$B81*'Walgreens National Payments'!E$22</f>
        <v>783.16428544468693</v>
      </c>
      <c r="H81" s="25">
        <f>$B81*'Walgreens National Payments'!F$22</f>
        <v>783.16428544468693</v>
      </c>
      <c r="I81" s="25">
        <f>$B81*'Walgreens National Payments'!G$22</f>
        <v>783.16428544468693</v>
      </c>
      <c r="J81" s="25">
        <f>$B81*'Walgreens National Payments'!H$22</f>
        <v>783.16428544468693</v>
      </c>
      <c r="K81" s="25">
        <f>$B81*'Walgreens National Payments'!I$22</f>
        <v>783.16428544468693</v>
      </c>
      <c r="L81" s="25">
        <f>$B81*'Walgreens National Payments'!J$22</f>
        <v>1186.4924488583854</v>
      </c>
      <c r="M81" s="25">
        <f>$B81*'Walgreens National Payments'!K$22</f>
        <v>1186.4924488583854</v>
      </c>
      <c r="N81" s="25">
        <f>$B81*'Walgreens National Payments'!L$22</f>
        <v>1186.4924488583854</v>
      </c>
      <c r="O81" s="25">
        <f>$B81*'Walgreens National Payments'!M$22</f>
        <v>1186.4924488583854</v>
      </c>
      <c r="P81" s="25">
        <f>$B81*'Walgreens National Payments'!N$22</f>
        <v>1186.4924488583854</v>
      </c>
      <c r="Q81" s="25">
        <f>$B81*'Walgreens National Payments'!O$22</f>
        <v>1186.4924488583854</v>
      </c>
      <c r="R81" s="25">
        <f>$B81*'Walgreens National Payments'!P$22</f>
        <v>1186.4924488583854</v>
      </c>
      <c r="S81" s="25">
        <f>$B81*'Walgreens National Payments'!Q$22</f>
        <v>1186.4924488583854</v>
      </c>
      <c r="T81" s="26" t="s">
        <v>346</v>
      </c>
      <c r="U81" s="26">
        <f t="shared" si="2"/>
        <v>15082.38101809052</v>
      </c>
    </row>
    <row r="82" spans="1:21" x14ac:dyDescent="0.35">
      <c r="A82" s="3" t="s">
        <v>34</v>
      </c>
      <c r="B82" s="16">
        <v>1.6511895197089239E-3</v>
      </c>
      <c r="C82" s="8" t="s">
        <v>111</v>
      </c>
      <c r="D82" s="33" t="str">
        <f t="shared" si="3"/>
        <v>No</v>
      </c>
      <c r="E82" s="25">
        <v>8073.72</v>
      </c>
      <c r="F82" s="25">
        <v>4480.8900000000003</v>
      </c>
      <c r="G82" s="25">
        <f>$B82*'Walgreens National Payments'!E$22</f>
        <v>5871.3672827035753</v>
      </c>
      <c r="H82" s="25">
        <f>$B82*'Walgreens National Payments'!F$22</f>
        <v>5871.3672827035753</v>
      </c>
      <c r="I82" s="25">
        <f>$B82*'Walgreens National Payments'!G$22</f>
        <v>5871.3672827035753</v>
      </c>
      <c r="J82" s="25">
        <f>$B82*'Walgreens National Payments'!H$22</f>
        <v>5871.3672827035753</v>
      </c>
      <c r="K82" s="25">
        <f>$B82*'Walgreens National Payments'!I$22</f>
        <v>5871.3672827035753</v>
      </c>
      <c r="L82" s="25">
        <f>$B82*'Walgreens National Payments'!J$22</f>
        <v>8895.1106107276446</v>
      </c>
      <c r="M82" s="25">
        <f>$B82*'Walgreens National Payments'!K$22</f>
        <v>8895.1106107276446</v>
      </c>
      <c r="N82" s="25">
        <f>$B82*'Walgreens National Payments'!L$22</f>
        <v>8895.1106107276446</v>
      </c>
      <c r="O82" s="25">
        <f>$B82*'Walgreens National Payments'!M$22</f>
        <v>8895.1106107276446</v>
      </c>
      <c r="P82" s="25">
        <f>$B82*'Walgreens National Payments'!N$22</f>
        <v>8895.1106107276446</v>
      </c>
      <c r="Q82" s="25">
        <f>$B82*'Walgreens National Payments'!O$22</f>
        <v>8895.1106107276446</v>
      </c>
      <c r="R82" s="25">
        <f>$B82*'Walgreens National Payments'!P$22</f>
        <v>8895.1106107276446</v>
      </c>
      <c r="S82" s="25">
        <f>$B82*'Walgreens National Payments'!Q$22</f>
        <v>8895.1106107276446</v>
      </c>
      <c r="T82" s="26" t="s">
        <v>346</v>
      </c>
      <c r="U82" s="26">
        <f t="shared" si="2"/>
        <v>113072.33129933903</v>
      </c>
    </row>
    <row r="83" spans="1:21" x14ac:dyDescent="0.35">
      <c r="A83" s="3" t="s">
        <v>63</v>
      </c>
      <c r="B83" s="16">
        <v>1.8526953699043198E-5</v>
      </c>
      <c r="C83" s="8" t="s">
        <v>112</v>
      </c>
      <c r="D83" s="33" t="str">
        <f t="shared" si="3"/>
        <v>Yes</v>
      </c>
      <c r="E83" s="25">
        <v>1340.98</v>
      </c>
      <c r="F83" s="48">
        <v>0</v>
      </c>
      <c r="G83" s="100">
        <f>$B83*'Walgreens National Payments'!E$22</f>
        <v>65.878900331139448</v>
      </c>
      <c r="H83" s="100">
        <f>$B83*'Walgreens National Payments'!F$22</f>
        <v>65.878900331139448</v>
      </c>
      <c r="I83" s="100">
        <f>$B83*'Walgreens National Payments'!G$22</f>
        <v>65.878900331139448</v>
      </c>
      <c r="J83" s="100">
        <f>$B83*'Walgreens National Payments'!H$22</f>
        <v>65.878900331139448</v>
      </c>
      <c r="K83" s="100">
        <f>$B83*'Walgreens National Payments'!I$22</f>
        <v>65.878900331139448</v>
      </c>
      <c r="L83" s="100">
        <f>$B83*'Walgreens National Payments'!J$22</f>
        <v>99.806412568479857</v>
      </c>
      <c r="M83" s="100">
        <f>$B83*'Walgreens National Payments'!K$22</f>
        <v>99.806412568479857</v>
      </c>
      <c r="N83" s="100">
        <f>$B83*'Walgreens National Payments'!L$22</f>
        <v>99.806412568479857</v>
      </c>
      <c r="O83" s="100">
        <f>$B83*'Walgreens National Payments'!M$22</f>
        <v>99.806412568479857</v>
      </c>
      <c r="P83" s="100">
        <f>$B83*'Walgreens National Payments'!N$22</f>
        <v>99.806412568479857</v>
      </c>
      <c r="Q83" s="100">
        <f>$B83*'Walgreens National Payments'!O$22</f>
        <v>99.806412568479857</v>
      </c>
      <c r="R83" s="100">
        <f>$B83*'Walgreens National Payments'!P$22</f>
        <v>99.806412568479857</v>
      </c>
      <c r="S83" s="100">
        <f>$B83*'Walgreens National Payments'!Q$22</f>
        <v>99.806412568479857</v>
      </c>
      <c r="T83" s="26" t="s">
        <v>346</v>
      </c>
      <c r="U83" s="26">
        <f t="shared" si="2"/>
        <v>2468.8258022035366</v>
      </c>
    </row>
    <row r="84" spans="1:21" x14ac:dyDescent="0.35">
      <c r="A84" s="3" t="s">
        <v>113</v>
      </c>
      <c r="B84" s="16">
        <v>4.7960718893470176E-4</v>
      </c>
      <c r="C84" s="8" t="s">
        <v>114</v>
      </c>
      <c r="D84" s="33" t="str">
        <f t="shared" si="3"/>
        <v>No</v>
      </c>
      <c r="E84" s="25">
        <v>2345.11</v>
      </c>
      <c r="F84" s="25">
        <v>1301.53</v>
      </c>
      <c r="G84" s="25">
        <f>$B84*'Walgreens National Payments'!E$22</f>
        <v>1705.4068742860259</v>
      </c>
      <c r="H84" s="25">
        <f>$B84*'Walgreens National Payments'!F$22</f>
        <v>1705.4068742860259</v>
      </c>
      <c r="I84" s="25">
        <f>$B84*'Walgreens National Payments'!G$22</f>
        <v>1705.4068742860259</v>
      </c>
      <c r="J84" s="25">
        <f>$B84*'Walgreens National Payments'!H$22</f>
        <v>1705.4068742860259</v>
      </c>
      <c r="K84" s="25">
        <f>$B84*'Walgreens National Payments'!I$22</f>
        <v>1705.4068742860259</v>
      </c>
      <c r="L84" s="25">
        <f>$B84*'Walgreens National Payments'!J$22</f>
        <v>2583.6882710025766</v>
      </c>
      <c r="M84" s="25">
        <f>$B84*'Walgreens National Payments'!K$22</f>
        <v>2583.6882710025766</v>
      </c>
      <c r="N84" s="25">
        <f>$B84*'Walgreens National Payments'!L$22</f>
        <v>2583.6882710025766</v>
      </c>
      <c r="O84" s="25">
        <f>$B84*'Walgreens National Payments'!M$22</f>
        <v>2583.6882710025766</v>
      </c>
      <c r="P84" s="25">
        <f>$B84*'Walgreens National Payments'!N$22</f>
        <v>2583.6882710025766</v>
      </c>
      <c r="Q84" s="25">
        <f>$B84*'Walgreens National Payments'!O$22</f>
        <v>2583.6882710025766</v>
      </c>
      <c r="R84" s="25">
        <f>$B84*'Walgreens National Payments'!P$22</f>
        <v>2583.6882710025766</v>
      </c>
      <c r="S84" s="25">
        <f>$B84*'Walgreens National Payments'!Q$22</f>
        <v>2583.6882710025766</v>
      </c>
      <c r="T84" s="26" t="s">
        <v>346</v>
      </c>
      <c r="U84" s="26">
        <f t="shared" si="2"/>
        <v>32843.180539450732</v>
      </c>
    </row>
    <row r="85" spans="1:21" x14ac:dyDescent="0.35">
      <c r="A85" s="3" t="s">
        <v>34</v>
      </c>
      <c r="B85" s="16">
        <v>8.911313493618362E-4</v>
      </c>
      <c r="C85" s="8" t="s">
        <v>115</v>
      </c>
      <c r="D85" s="33" t="str">
        <f t="shared" si="3"/>
        <v>No</v>
      </c>
      <c r="E85" s="25">
        <v>4357.3100000000004</v>
      </c>
      <c r="F85" s="25">
        <v>2418.3000000000002</v>
      </c>
      <c r="G85" s="25">
        <f>$B85*'Walgreens National Payments'!E$22</f>
        <v>3168.721328946488</v>
      </c>
      <c r="H85" s="25">
        <f>$B85*'Walgreens National Payments'!F$22</f>
        <v>3168.721328946488</v>
      </c>
      <c r="I85" s="25">
        <f>$B85*'Walgreens National Payments'!G$22</f>
        <v>3168.721328946488</v>
      </c>
      <c r="J85" s="25">
        <f>$B85*'Walgreens National Payments'!H$22</f>
        <v>3168.721328946488</v>
      </c>
      <c r="K85" s="25">
        <f>$B85*'Walgreens National Payments'!I$22</f>
        <v>3168.721328946488</v>
      </c>
      <c r="L85" s="25">
        <f>$B85*'Walgreens National Payments'!J$22</f>
        <v>4800.6069725163079</v>
      </c>
      <c r="M85" s="25">
        <f>$B85*'Walgreens National Payments'!K$22</f>
        <v>4800.6069725163079</v>
      </c>
      <c r="N85" s="25">
        <f>$B85*'Walgreens National Payments'!L$22</f>
        <v>4800.6069725163079</v>
      </c>
      <c r="O85" s="25">
        <f>$B85*'Walgreens National Payments'!M$22</f>
        <v>4800.6069725163079</v>
      </c>
      <c r="P85" s="25">
        <f>$B85*'Walgreens National Payments'!N$22</f>
        <v>4800.6069725163079</v>
      </c>
      <c r="Q85" s="25">
        <f>$B85*'Walgreens National Payments'!O$22</f>
        <v>4800.6069725163079</v>
      </c>
      <c r="R85" s="25">
        <f>$B85*'Walgreens National Payments'!P$22</f>
        <v>4800.6069725163079</v>
      </c>
      <c r="S85" s="25">
        <f>$B85*'Walgreens National Payments'!Q$22</f>
        <v>4800.6069725163079</v>
      </c>
      <c r="T85" s="26" t="s">
        <v>346</v>
      </c>
      <c r="U85" s="26">
        <f t="shared" si="2"/>
        <v>61024.072424862919</v>
      </c>
    </row>
    <row r="86" spans="1:21" x14ac:dyDescent="0.35">
      <c r="A86" s="3" t="s">
        <v>116</v>
      </c>
      <c r="B86" s="16">
        <v>1.717819666839331E-4</v>
      </c>
      <c r="C86" s="8" t="s">
        <v>117</v>
      </c>
      <c r="D86" s="33" t="str">
        <f t="shared" si="3"/>
        <v>No</v>
      </c>
      <c r="E86" s="25">
        <v>839.95</v>
      </c>
      <c r="F86" s="25">
        <v>466.17</v>
      </c>
      <c r="G86" s="25">
        <f>$B86*'Walgreens National Payments'!E$22</f>
        <v>610.82934872571036</v>
      </c>
      <c r="H86" s="25">
        <f>$B86*'Walgreens National Payments'!F$22</f>
        <v>610.82934872571036</v>
      </c>
      <c r="I86" s="25">
        <f>$B86*'Walgreens National Payments'!G$22</f>
        <v>610.82934872571036</v>
      </c>
      <c r="J86" s="25">
        <f>$B86*'Walgreens National Payments'!H$22</f>
        <v>610.82934872571036</v>
      </c>
      <c r="K86" s="25">
        <f>$B86*'Walgreens National Payments'!I$22</f>
        <v>610.82934872571036</v>
      </c>
      <c r="L86" s="25">
        <f>$B86*'Walgreens National Payments'!J$22</f>
        <v>925.40533739051318</v>
      </c>
      <c r="M86" s="25">
        <f>$B86*'Walgreens National Payments'!K$22</f>
        <v>925.40533739051318</v>
      </c>
      <c r="N86" s="25">
        <f>$B86*'Walgreens National Payments'!L$22</f>
        <v>925.40533739051318</v>
      </c>
      <c r="O86" s="25">
        <f>$B86*'Walgreens National Payments'!M$22</f>
        <v>925.40533739051318</v>
      </c>
      <c r="P86" s="25">
        <f>$B86*'Walgreens National Payments'!N$22</f>
        <v>925.40533739051318</v>
      </c>
      <c r="Q86" s="25">
        <f>$B86*'Walgreens National Payments'!O$22</f>
        <v>925.40533739051318</v>
      </c>
      <c r="R86" s="25">
        <f>$B86*'Walgreens National Payments'!P$22</f>
        <v>925.40533739051318</v>
      </c>
      <c r="S86" s="25">
        <f>$B86*'Walgreens National Payments'!Q$22</f>
        <v>925.40533739051318</v>
      </c>
      <c r="T86" s="26" t="s">
        <v>346</v>
      </c>
      <c r="U86" s="26">
        <f t="shared" si="2"/>
        <v>11763.50944275266</v>
      </c>
    </row>
    <row r="87" spans="1:21" x14ac:dyDescent="0.35">
      <c r="A87" s="3" t="s">
        <v>63</v>
      </c>
      <c r="B87" s="16">
        <v>2.5575490326387143E-4</v>
      </c>
      <c r="C87" s="8" t="s">
        <v>118</v>
      </c>
      <c r="D87" s="33" t="str">
        <f t="shared" si="3"/>
        <v>No</v>
      </c>
      <c r="E87" s="25">
        <v>1250.55</v>
      </c>
      <c r="F87" s="25">
        <v>694.05</v>
      </c>
      <c r="G87" s="25">
        <f>$B87*'Walgreens National Payments'!E$22</f>
        <v>909.42375390029372</v>
      </c>
      <c r="H87" s="25">
        <f>$B87*'Walgreens National Payments'!F$22</f>
        <v>909.42375390029372</v>
      </c>
      <c r="I87" s="25">
        <f>$B87*'Walgreens National Payments'!G$22</f>
        <v>909.42375390029372</v>
      </c>
      <c r="J87" s="25">
        <f>$B87*'Walgreens National Payments'!H$22</f>
        <v>909.42375390029372</v>
      </c>
      <c r="K87" s="25">
        <f>$B87*'Walgreens National Payments'!I$22</f>
        <v>909.42375390029372</v>
      </c>
      <c r="L87" s="25">
        <f>$B87*'Walgreens National Payments'!J$22</f>
        <v>1377.7753108371974</v>
      </c>
      <c r="M87" s="25">
        <f>$B87*'Walgreens National Payments'!K$22</f>
        <v>1377.7753108371974</v>
      </c>
      <c r="N87" s="25">
        <f>$B87*'Walgreens National Payments'!L$22</f>
        <v>1377.7753108371974</v>
      </c>
      <c r="O87" s="25">
        <f>$B87*'Walgreens National Payments'!M$22</f>
        <v>1377.7753108371974</v>
      </c>
      <c r="P87" s="25">
        <f>$B87*'Walgreens National Payments'!N$22</f>
        <v>1377.7753108371974</v>
      </c>
      <c r="Q87" s="25">
        <f>$B87*'Walgreens National Payments'!O$22</f>
        <v>1377.7753108371974</v>
      </c>
      <c r="R87" s="25">
        <f>$B87*'Walgreens National Payments'!P$22</f>
        <v>1377.7753108371974</v>
      </c>
      <c r="S87" s="25">
        <f>$B87*'Walgreens National Payments'!Q$22</f>
        <v>1377.7753108371974</v>
      </c>
      <c r="T87" s="26" t="s">
        <v>346</v>
      </c>
      <c r="U87" s="26">
        <f t="shared" si="2"/>
        <v>17513.92125619905</v>
      </c>
    </row>
    <row r="88" spans="1:21" x14ac:dyDescent="0.35">
      <c r="A88" s="3" t="s">
        <v>63</v>
      </c>
      <c r="B88" s="16">
        <v>2.9548125614560005E-2</v>
      </c>
      <c r="C88" s="8" t="s">
        <v>119</v>
      </c>
      <c r="D88" s="33" t="str">
        <f t="shared" si="3"/>
        <v>No</v>
      </c>
      <c r="E88" s="25">
        <v>144479.72</v>
      </c>
      <c r="F88" s="25">
        <v>80185.850000000006</v>
      </c>
      <c r="G88" s="25">
        <f>$B88*'Walgreens National Payments'!E$22</f>
        <v>105068.43456051368</v>
      </c>
      <c r="H88" s="25">
        <f>$B88*'Walgreens National Payments'!F$22</f>
        <v>105068.43456051368</v>
      </c>
      <c r="I88" s="25">
        <f>$B88*'Walgreens National Payments'!G$22</f>
        <v>105068.43456051368</v>
      </c>
      <c r="J88" s="25">
        <f>$B88*'Walgreens National Payments'!H$22</f>
        <v>105068.43456051368</v>
      </c>
      <c r="K88" s="25">
        <f>$B88*'Walgreens National Payments'!I$22</f>
        <v>105068.43456051368</v>
      </c>
      <c r="L88" s="25">
        <f>$B88*'Walgreens National Payments'!J$22</f>
        <v>159178.48468873464</v>
      </c>
      <c r="M88" s="25">
        <f>$B88*'Walgreens National Payments'!K$22</f>
        <v>159178.48468873464</v>
      </c>
      <c r="N88" s="25">
        <f>$B88*'Walgreens National Payments'!L$22</f>
        <v>159178.48468873464</v>
      </c>
      <c r="O88" s="25">
        <f>$B88*'Walgreens National Payments'!M$22</f>
        <v>159178.48468873464</v>
      </c>
      <c r="P88" s="25">
        <f>$B88*'Walgreens National Payments'!N$22</f>
        <v>159178.48468873464</v>
      </c>
      <c r="Q88" s="25">
        <f>$B88*'Walgreens National Payments'!O$22</f>
        <v>159178.48468873464</v>
      </c>
      <c r="R88" s="25">
        <f>$B88*'Walgreens National Payments'!P$22</f>
        <v>159178.48468873464</v>
      </c>
      <c r="S88" s="25">
        <f>$B88*'Walgreens National Payments'!Q$22</f>
        <v>159178.48468873464</v>
      </c>
      <c r="T88" s="26" t="s">
        <v>346</v>
      </c>
      <c r="U88" s="26">
        <f t="shared" si="2"/>
        <v>2023435.6203124456</v>
      </c>
    </row>
    <row r="89" spans="1:21" x14ac:dyDescent="0.35">
      <c r="A89" s="3" t="s">
        <v>63</v>
      </c>
      <c r="B89" s="16">
        <v>3.7431147041579692E-5</v>
      </c>
      <c r="C89" s="8" t="s">
        <v>120</v>
      </c>
      <c r="D89" s="33" t="str">
        <f t="shared" si="3"/>
        <v>Yes</v>
      </c>
      <c r="E89" s="25">
        <v>2709.26</v>
      </c>
      <c r="F89" s="48">
        <v>0</v>
      </c>
      <c r="G89" s="100">
        <f>$B89*'Walgreens National Payments'!E$22</f>
        <v>133.09920482824995</v>
      </c>
      <c r="H89" s="100">
        <f>$B89*'Walgreens National Payments'!F$22</f>
        <v>133.09920482824995</v>
      </c>
      <c r="I89" s="100">
        <f>$B89*'Walgreens National Payments'!G$22</f>
        <v>133.09920482824995</v>
      </c>
      <c r="J89" s="100">
        <f>$B89*'Walgreens National Payments'!H$22</f>
        <v>133.09920482824995</v>
      </c>
      <c r="K89" s="100">
        <f>$B89*'Walgreens National Payments'!I$22</f>
        <v>133.09920482824995</v>
      </c>
      <c r="L89" s="100">
        <f>$B89*'Walgreens National Payments'!J$22</f>
        <v>201.64504997582367</v>
      </c>
      <c r="M89" s="100">
        <f>$B89*'Walgreens National Payments'!K$22</f>
        <v>201.64504997582367</v>
      </c>
      <c r="N89" s="100">
        <f>$B89*'Walgreens National Payments'!L$22</f>
        <v>201.64504997582367</v>
      </c>
      <c r="O89" s="100">
        <f>$B89*'Walgreens National Payments'!M$22</f>
        <v>201.64504997582367</v>
      </c>
      <c r="P89" s="100">
        <f>$B89*'Walgreens National Payments'!N$22</f>
        <v>201.64504997582367</v>
      </c>
      <c r="Q89" s="100">
        <f>$B89*'Walgreens National Payments'!O$22</f>
        <v>201.64504997582367</v>
      </c>
      <c r="R89" s="100">
        <f>$B89*'Walgreens National Payments'!P$22</f>
        <v>201.64504997582367</v>
      </c>
      <c r="S89" s="100">
        <f>$B89*'Walgreens National Payments'!Q$22</f>
        <v>201.64504997582367</v>
      </c>
      <c r="T89" s="26" t="s">
        <v>346</v>
      </c>
      <c r="U89" s="26">
        <f t="shared" si="2"/>
        <v>4987.9164239478414</v>
      </c>
    </row>
    <row r="90" spans="1:21" x14ac:dyDescent="0.35">
      <c r="A90" s="3" t="s">
        <v>121</v>
      </c>
      <c r="B90" s="16">
        <v>9.4416380822506951E-5</v>
      </c>
      <c r="C90" s="8" t="s">
        <v>122</v>
      </c>
      <c r="D90" s="8" t="s">
        <v>337</v>
      </c>
      <c r="E90" s="25">
        <v>0</v>
      </c>
      <c r="F90" s="25">
        <v>0</v>
      </c>
      <c r="G90" s="25">
        <f>$B90*'Walgreens National Payments'!E$22</f>
        <v>335.72963169622801</v>
      </c>
      <c r="H90" s="25">
        <f>$B90*'Walgreens National Payments'!F$22</f>
        <v>335.72963169622801</v>
      </c>
      <c r="I90" s="25">
        <f>$B90*'Walgreens National Payments'!G$22</f>
        <v>335.72963169622801</v>
      </c>
      <c r="J90" s="25">
        <f>$B90*'Walgreens National Payments'!H$22</f>
        <v>335.72963169622801</v>
      </c>
      <c r="K90" s="25">
        <f>$B90*'Walgreens National Payments'!I$22</f>
        <v>335.72963169622801</v>
      </c>
      <c r="L90" s="25">
        <f>$B90*'Walgreens National Payments'!J$22</f>
        <v>508.62977317639087</v>
      </c>
      <c r="M90" s="25">
        <f>$B90*'Walgreens National Payments'!K$22</f>
        <v>508.62977317639087</v>
      </c>
      <c r="N90" s="25">
        <f>$B90*'Walgreens National Payments'!L$22</f>
        <v>508.62977317639087</v>
      </c>
      <c r="O90" s="25">
        <f>$B90*'Walgreens National Payments'!M$22</f>
        <v>508.62977317639087</v>
      </c>
      <c r="P90" s="25">
        <f>$B90*'Walgreens National Payments'!N$22</f>
        <v>508.62977317639087</v>
      </c>
      <c r="Q90" s="25">
        <f>$B90*'Walgreens National Payments'!O$22</f>
        <v>508.62977317639087</v>
      </c>
      <c r="R90" s="25">
        <f>$B90*'Walgreens National Payments'!P$22</f>
        <v>508.62977317639087</v>
      </c>
      <c r="S90" s="25">
        <f>$B90*'Walgreens National Payments'!Q$22</f>
        <v>508.62977317639087</v>
      </c>
      <c r="T90" s="26" t="s">
        <v>346</v>
      </c>
      <c r="U90" s="26">
        <f t="shared" si="2"/>
        <v>5747.6863438922655</v>
      </c>
    </row>
    <row r="91" spans="1:21" x14ac:dyDescent="0.35">
      <c r="A91" s="3" t="s">
        <v>75</v>
      </c>
      <c r="B91" s="16">
        <v>8.0090683849233263E-4</v>
      </c>
      <c r="C91" s="8" t="s">
        <v>123</v>
      </c>
      <c r="D91" s="33" t="str">
        <f t="shared" ref="D91:D98" si="4">IF(B91&lt;0.000083,"Yes","No")</f>
        <v>No</v>
      </c>
      <c r="E91" s="25">
        <v>3916.15</v>
      </c>
      <c r="F91" s="25">
        <v>2173.4499999999998</v>
      </c>
      <c r="G91" s="25">
        <f>$B91*'Walgreens National Payments'!E$22</f>
        <v>2847.8973200159321</v>
      </c>
      <c r="H91" s="25">
        <f>$B91*'Walgreens National Payments'!F$22</f>
        <v>2847.8973200159321</v>
      </c>
      <c r="I91" s="25">
        <f>$B91*'Walgreens National Payments'!G$22</f>
        <v>2847.8973200159321</v>
      </c>
      <c r="J91" s="25">
        <f>$B91*'Walgreens National Payments'!H$22</f>
        <v>2847.8973200159321</v>
      </c>
      <c r="K91" s="25">
        <f>$B91*'Walgreens National Payments'!I$22</f>
        <v>2847.8973200159321</v>
      </c>
      <c r="L91" s="25">
        <f>$B91*'Walgreens National Payments'!J$22</f>
        <v>4314.5591903546883</v>
      </c>
      <c r="M91" s="25">
        <f>$B91*'Walgreens National Payments'!K$22</f>
        <v>4314.5591903546883</v>
      </c>
      <c r="N91" s="25">
        <f>$B91*'Walgreens National Payments'!L$22</f>
        <v>4314.5591903546883</v>
      </c>
      <c r="O91" s="25">
        <f>$B91*'Walgreens National Payments'!M$22</f>
        <v>4314.5591903546883</v>
      </c>
      <c r="P91" s="25">
        <f>$B91*'Walgreens National Payments'!N$22</f>
        <v>4314.5591903546883</v>
      </c>
      <c r="Q91" s="25">
        <f>$B91*'Walgreens National Payments'!O$22</f>
        <v>4314.5591903546883</v>
      </c>
      <c r="R91" s="25">
        <f>$B91*'Walgreens National Payments'!P$22</f>
        <v>4314.5591903546883</v>
      </c>
      <c r="S91" s="25">
        <f>$B91*'Walgreens National Payments'!Q$22</f>
        <v>4314.5591903546883</v>
      </c>
      <c r="T91" s="26" t="s">
        <v>346</v>
      </c>
      <c r="U91" s="26">
        <f t="shared" si="2"/>
        <v>54845.560122917166</v>
      </c>
    </row>
    <row r="92" spans="1:21" x14ac:dyDescent="0.35">
      <c r="A92" s="3" t="s">
        <v>45</v>
      </c>
      <c r="B92" s="16">
        <v>4.8883853430216079E-4</v>
      </c>
      <c r="C92" s="8" t="s">
        <v>124</v>
      </c>
      <c r="D92" s="33" t="str">
        <f t="shared" si="4"/>
        <v>No</v>
      </c>
      <c r="E92" s="25">
        <v>2390.2399999999998</v>
      </c>
      <c r="F92" s="25">
        <v>1326.58</v>
      </c>
      <c r="G92" s="25">
        <f>$B92*'Walgreens National Payments'!E$22</f>
        <v>1738.2320700124321</v>
      </c>
      <c r="H92" s="25">
        <f>$B92*'Walgreens National Payments'!F$22</f>
        <v>1738.2320700124321</v>
      </c>
      <c r="I92" s="25">
        <f>$B92*'Walgreens National Payments'!G$22</f>
        <v>1738.2320700124321</v>
      </c>
      <c r="J92" s="25">
        <f>$B92*'Walgreens National Payments'!H$22</f>
        <v>1738.2320700124321</v>
      </c>
      <c r="K92" s="25">
        <f>$B92*'Walgreens National Payments'!I$22</f>
        <v>1738.2320700124321</v>
      </c>
      <c r="L92" s="25">
        <f>$B92*'Walgreens National Payments'!J$22</f>
        <v>2633.4183820220865</v>
      </c>
      <c r="M92" s="25">
        <f>$B92*'Walgreens National Payments'!K$22</f>
        <v>2633.4183820220865</v>
      </c>
      <c r="N92" s="25">
        <f>$B92*'Walgreens National Payments'!L$22</f>
        <v>2633.4183820220865</v>
      </c>
      <c r="O92" s="25">
        <f>$B92*'Walgreens National Payments'!M$22</f>
        <v>2633.4183820220865</v>
      </c>
      <c r="P92" s="25">
        <f>$B92*'Walgreens National Payments'!N$22</f>
        <v>2633.4183820220865</v>
      </c>
      <c r="Q92" s="25">
        <f>$B92*'Walgreens National Payments'!O$22</f>
        <v>2633.4183820220865</v>
      </c>
      <c r="R92" s="25">
        <f>$B92*'Walgreens National Payments'!P$22</f>
        <v>2633.4183820220865</v>
      </c>
      <c r="S92" s="25">
        <f>$B92*'Walgreens National Payments'!Q$22</f>
        <v>2633.4183820220865</v>
      </c>
      <c r="T92" s="26" t="s">
        <v>346</v>
      </c>
      <c r="U92" s="26">
        <f t="shared" si="2"/>
        <v>33475.327406238852</v>
      </c>
    </row>
    <row r="93" spans="1:21" x14ac:dyDescent="0.35">
      <c r="A93" s="3" t="s">
        <v>105</v>
      </c>
      <c r="B93" s="16">
        <v>1.2927096154735895E-4</v>
      </c>
      <c r="C93" s="8" t="s">
        <v>125</v>
      </c>
      <c r="D93" s="33" t="str">
        <f t="shared" si="4"/>
        <v>No</v>
      </c>
      <c r="E93" s="25">
        <v>632.09</v>
      </c>
      <c r="F93" s="25">
        <v>350.81</v>
      </c>
      <c r="G93" s="25">
        <f>$B93*'Walgreens National Payments'!E$22</f>
        <v>459.66697654827254</v>
      </c>
      <c r="H93" s="25">
        <f>$B93*'Walgreens National Payments'!F$22</f>
        <v>459.66697654827254</v>
      </c>
      <c r="I93" s="25">
        <f>$B93*'Walgreens National Payments'!G$22</f>
        <v>459.66697654827254</v>
      </c>
      <c r="J93" s="25">
        <f>$B93*'Walgreens National Payments'!H$22</f>
        <v>459.66697654827254</v>
      </c>
      <c r="K93" s="25">
        <f>$B93*'Walgreens National Payments'!I$22</f>
        <v>459.66697654827254</v>
      </c>
      <c r="L93" s="25">
        <f>$B93*'Walgreens National Payments'!J$22</f>
        <v>696.39462217612788</v>
      </c>
      <c r="M93" s="25">
        <f>$B93*'Walgreens National Payments'!K$22</f>
        <v>696.39462217612788</v>
      </c>
      <c r="N93" s="25">
        <f>$B93*'Walgreens National Payments'!L$22</f>
        <v>696.39462217612788</v>
      </c>
      <c r="O93" s="25">
        <f>$B93*'Walgreens National Payments'!M$22</f>
        <v>696.39462217612788</v>
      </c>
      <c r="P93" s="25">
        <f>$B93*'Walgreens National Payments'!N$22</f>
        <v>696.39462217612788</v>
      </c>
      <c r="Q93" s="25">
        <f>$B93*'Walgreens National Payments'!O$22</f>
        <v>696.39462217612788</v>
      </c>
      <c r="R93" s="25">
        <f>$B93*'Walgreens National Payments'!P$22</f>
        <v>696.39462217612788</v>
      </c>
      <c r="S93" s="25">
        <f>$B93*'Walgreens National Payments'!Q$22</f>
        <v>696.39462217612788</v>
      </c>
      <c r="T93" s="26" t="s">
        <v>346</v>
      </c>
      <c r="U93" s="26">
        <f t="shared" si="2"/>
        <v>8852.3918601503865</v>
      </c>
    </row>
    <row r="94" spans="1:21" x14ac:dyDescent="0.35">
      <c r="A94" s="3" t="s">
        <v>14</v>
      </c>
      <c r="B94" s="16">
        <v>8.9914131120183972E-5</v>
      </c>
      <c r="C94" s="8" t="s">
        <v>339</v>
      </c>
      <c r="D94" s="33" t="str">
        <f t="shared" si="4"/>
        <v>No</v>
      </c>
      <c r="E94" s="25">
        <v>439.65</v>
      </c>
      <c r="F94" s="25">
        <v>244</v>
      </c>
      <c r="G94" s="25">
        <f>$B94*'Walgreens National Payments'!E$22</f>
        <v>319.72034791307937</v>
      </c>
      <c r="H94" s="25">
        <f>$B94*'Walgreens National Payments'!F$22</f>
        <v>319.72034791307937</v>
      </c>
      <c r="I94" s="25">
        <f>$B94*'Walgreens National Payments'!G$22</f>
        <v>319.72034791307937</v>
      </c>
      <c r="J94" s="25">
        <f>$B94*'Walgreens National Payments'!H$22</f>
        <v>319.72034791307937</v>
      </c>
      <c r="K94" s="25">
        <f>$B94*'Walgreens National Payments'!I$22</f>
        <v>319.72034791307937</v>
      </c>
      <c r="L94" s="25">
        <f>$B94*'Walgreens National Payments'!J$22</f>
        <v>484.375737754498</v>
      </c>
      <c r="M94" s="25">
        <f>$B94*'Walgreens National Payments'!K$22</f>
        <v>484.375737754498</v>
      </c>
      <c r="N94" s="25">
        <f>$B94*'Walgreens National Payments'!L$22</f>
        <v>484.375737754498</v>
      </c>
      <c r="O94" s="25">
        <f>$B94*'Walgreens National Payments'!M$22</f>
        <v>484.375737754498</v>
      </c>
      <c r="P94" s="25">
        <f>$B94*'Walgreens National Payments'!N$22</f>
        <v>484.375737754498</v>
      </c>
      <c r="Q94" s="25">
        <f>$B94*'Walgreens National Payments'!O$22</f>
        <v>484.375737754498</v>
      </c>
      <c r="R94" s="25">
        <f>$B94*'Walgreens National Payments'!P$22</f>
        <v>484.375737754498</v>
      </c>
      <c r="S94" s="25">
        <f>$B94*'Walgreens National Payments'!Q$22</f>
        <v>484.375737754498</v>
      </c>
      <c r="T94" s="26" t="s">
        <v>346</v>
      </c>
      <c r="U94" s="26">
        <f t="shared" si="2"/>
        <v>6157.2576416013808</v>
      </c>
    </row>
    <row r="95" spans="1:21" x14ac:dyDescent="0.35">
      <c r="A95" s="3" t="s">
        <v>22</v>
      </c>
      <c r="B95" s="16">
        <v>3.6022982039200801E-4</v>
      </c>
      <c r="C95" s="8" t="s">
        <v>127</v>
      </c>
      <c r="D95" s="33" t="str">
        <f t="shared" si="4"/>
        <v>No</v>
      </c>
      <c r="E95" s="25">
        <v>1761.39</v>
      </c>
      <c r="F95" s="25">
        <v>977.57</v>
      </c>
      <c r="G95" s="25">
        <f>$B95*'Walgreens National Payments'!E$22</f>
        <v>1280.9199407204731</v>
      </c>
      <c r="H95" s="25">
        <f>$B95*'Walgreens National Payments'!F$22</f>
        <v>1280.9199407204731</v>
      </c>
      <c r="I95" s="25">
        <f>$B95*'Walgreens National Payments'!G$22</f>
        <v>1280.9199407204731</v>
      </c>
      <c r="J95" s="25">
        <f>$B95*'Walgreens National Payments'!H$22</f>
        <v>1280.9199407204731</v>
      </c>
      <c r="K95" s="25">
        <f>$B95*'Walgreens National Payments'!I$22</f>
        <v>1280.9199407204731</v>
      </c>
      <c r="L95" s="25">
        <f>$B95*'Walgreens National Payments'!J$22</f>
        <v>1940.5913490986329</v>
      </c>
      <c r="M95" s="25">
        <f>$B95*'Walgreens National Payments'!K$22</f>
        <v>1940.5913490986329</v>
      </c>
      <c r="N95" s="25">
        <f>$B95*'Walgreens National Payments'!L$22</f>
        <v>1940.5913490986329</v>
      </c>
      <c r="O95" s="25">
        <f>$B95*'Walgreens National Payments'!M$22</f>
        <v>1940.5913490986329</v>
      </c>
      <c r="P95" s="25">
        <f>$B95*'Walgreens National Payments'!N$22</f>
        <v>1940.5913490986329</v>
      </c>
      <c r="Q95" s="25">
        <f>$B95*'Walgreens National Payments'!O$22</f>
        <v>1940.5913490986329</v>
      </c>
      <c r="R95" s="25">
        <f>$B95*'Walgreens National Payments'!P$22</f>
        <v>1940.5913490986329</v>
      </c>
      <c r="S95" s="25">
        <f>$B95*'Walgreens National Payments'!Q$22</f>
        <v>1940.5913490986329</v>
      </c>
      <c r="T95" s="26" t="s">
        <v>346</v>
      </c>
      <c r="U95" s="26">
        <f t="shared" si="2"/>
        <v>24668.290496391422</v>
      </c>
    </row>
    <row r="96" spans="1:21" x14ac:dyDescent="0.35">
      <c r="A96" s="3" t="s">
        <v>99</v>
      </c>
      <c r="B96" s="16">
        <v>4.0665701695608492E-6</v>
      </c>
      <c r="C96" s="8" t="s">
        <v>128</v>
      </c>
      <c r="D96" s="33" t="str">
        <f t="shared" si="4"/>
        <v>Yes</v>
      </c>
      <c r="E96" s="25">
        <v>0</v>
      </c>
      <c r="F96" s="48">
        <v>0</v>
      </c>
      <c r="G96" s="100">
        <f>$B96*'Walgreens National Payments'!E$22</f>
        <v>14.460076666781948</v>
      </c>
      <c r="H96" s="100">
        <f>$B96*'Walgreens National Payments'!F$22</f>
        <v>14.460076666781948</v>
      </c>
      <c r="I96" s="100">
        <f>$B96*'Walgreens National Payments'!G$22</f>
        <v>14.460076666781948</v>
      </c>
      <c r="J96" s="100">
        <f>$B96*'Walgreens National Payments'!H$22</f>
        <v>14.460076666781948</v>
      </c>
      <c r="K96" s="100">
        <f>$B96*'Walgreens National Payments'!I$22</f>
        <v>14.460076666781948</v>
      </c>
      <c r="L96" s="100">
        <f>$B96*'Walgreens National Payments'!J$22</f>
        <v>21.906989496218358</v>
      </c>
      <c r="M96" s="100">
        <f>$B96*'Walgreens National Payments'!K$22</f>
        <v>21.906989496218358</v>
      </c>
      <c r="N96" s="100">
        <f>$B96*'Walgreens National Payments'!L$22</f>
        <v>21.906989496218358</v>
      </c>
      <c r="O96" s="100">
        <f>$B96*'Walgreens National Payments'!M$22</f>
        <v>21.906989496218358</v>
      </c>
      <c r="P96" s="100">
        <f>$B96*'Walgreens National Payments'!N$22</f>
        <v>21.906989496218358</v>
      </c>
      <c r="Q96" s="100">
        <f>$B96*'Walgreens National Payments'!O$22</f>
        <v>21.906989496218358</v>
      </c>
      <c r="R96" s="100">
        <f>$B96*'Walgreens National Payments'!P$22</f>
        <v>21.906989496218358</v>
      </c>
      <c r="S96" s="100">
        <f>$B96*'Walgreens National Payments'!Q$22</f>
        <v>21.906989496218358</v>
      </c>
      <c r="T96" s="26" t="s">
        <v>346</v>
      </c>
      <c r="U96" s="26">
        <f t="shared" si="2"/>
        <v>247.5562993036566</v>
      </c>
    </row>
    <row r="97" spans="1:21" x14ac:dyDescent="0.35">
      <c r="A97" s="3" t="s">
        <v>63</v>
      </c>
      <c r="B97" s="16">
        <v>1.2946224462663598E-4</v>
      </c>
      <c r="C97" s="8" t="s">
        <v>129</v>
      </c>
      <c r="D97" s="33" t="str">
        <f t="shared" si="4"/>
        <v>No</v>
      </c>
      <c r="E97" s="25">
        <v>0</v>
      </c>
      <c r="F97" s="25">
        <v>0</v>
      </c>
      <c r="G97" s="25">
        <f>$B97*'Walgreens National Payments'!E$22</f>
        <v>460.34714875140031</v>
      </c>
      <c r="H97" s="25">
        <f>$B97*'Walgreens National Payments'!F$22</f>
        <v>460.34714875140031</v>
      </c>
      <c r="I97" s="25">
        <f>$B97*'Walgreens National Payments'!G$22</f>
        <v>460.34714875140031</v>
      </c>
      <c r="J97" s="25">
        <f>$B97*'Walgreens National Payments'!H$22</f>
        <v>460.34714875140031</v>
      </c>
      <c r="K97" s="25">
        <f>$B97*'Walgreens National Payments'!I$22</f>
        <v>460.34714875140031</v>
      </c>
      <c r="L97" s="25">
        <f>$B97*'Walgreens National Payments'!J$22</f>
        <v>697.42508181011931</v>
      </c>
      <c r="M97" s="25">
        <f>$B97*'Walgreens National Payments'!K$22</f>
        <v>697.42508181011931</v>
      </c>
      <c r="N97" s="25">
        <f>$B97*'Walgreens National Payments'!L$22</f>
        <v>697.42508181011931</v>
      </c>
      <c r="O97" s="25">
        <f>$B97*'Walgreens National Payments'!M$22</f>
        <v>697.42508181011931</v>
      </c>
      <c r="P97" s="25">
        <f>$B97*'Walgreens National Payments'!N$22</f>
        <v>697.42508181011931</v>
      </c>
      <c r="Q97" s="25">
        <f>$B97*'Walgreens National Payments'!O$22</f>
        <v>697.42508181011931</v>
      </c>
      <c r="R97" s="25">
        <f>$B97*'Walgreens National Payments'!P$22</f>
        <v>697.42508181011931</v>
      </c>
      <c r="S97" s="25">
        <f>$B97*'Walgreens National Payments'!Q$22</f>
        <v>697.42508181011931</v>
      </c>
      <c r="T97" s="26" t="s">
        <v>346</v>
      </c>
      <c r="U97" s="26">
        <f t="shared" si="2"/>
        <v>7881.1363982379544</v>
      </c>
    </row>
    <row r="98" spans="1:21" x14ac:dyDescent="0.35">
      <c r="A98" s="3" t="s">
        <v>63</v>
      </c>
      <c r="B98" s="16">
        <v>2.0590679067840002E-2</v>
      </c>
      <c r="C98" s="8" t="s">
        <v>63</v>
      </c>
      <c r="D98" s="33" t="str">
        <f t="shared" si="4"/>
        <v>No</v>
      </c>
      <c r="E98" s="25">
        <v>105052.95</v>
      </c>
      <c r="F98" s="25">
        <v>56229.020000000004</v>
      </c>
      <c r="G98" s="25">
        <f>$B98*'Walgreens National Payments'!E$22</f>
        <v>73217.179472455056</v>
      </c>
      <c r="H98" s="25">
        <f>$B98*'Walgreens National Payments'!F$22</f>
        <v>73217.179472455056</v>
      </c>
      <c r="I98" s="25">
        <f>$B98*'Walgreens National Payments'!G$22</f>
        <v>73217.179472455056</v>
      </c>
      <c r="J98" s="25">
        <f>$B98*'Walgreens National Payments'!H$22</f>
        <v>73217.179472455056</v>
      </c>
      <c r="K98" s="25">
        <f>$B98*'Walgreens National Payments'!I$22</f>
        <v>73217.179472455056</v>
      </c>
      <c r="L98" s="25">
        <f>$B98*'Walgreens National Payments'!J$22</f>
        <v>110923.89194107683</v>
      </c>
      <c r="M98" s="25">
        <f>$B98*'Walgreens National Payments'!K$22</f>
        <v>110923.89194107683</v>
      </c>
      <c r="N98" s="25">
        <f>$B98*'Walgreens National Payments'!L$22</f>
        <v>110923.89194107683</v>
      </c>
      <c r="O98" s="25">
        <f>$B98*'Walgreens National Payments'!M$22</f>
        <v>110923.89194107683</v>
      </c>
      <c r="P98" s="25">
        <f>$B98*'Walgreens National Payments'!N$22</f>
        <v>110923.89194107683</v>
      </c>
      <c r="Q98" s="25">
        <f>$B98*'Walgreens National Payments'!O$22</f>
        <v>110923.89194107683</v>
      </c>
      <c r="R98" s="25">
        <f>$B98*'Walgreens National Payments'!P$22</f>
        <v>110923.89194107683</v>
      </c>
      <c r="S98" s="25">
        <f>$B98*'Walgreens National Payments'!Q$22</f>
        <v>110923.89194107683</v>
      </c>
      <c r="T98" s="26" t="s">
        <v>346</v>
      </c>
      <c r="U98" s="26">
        <f t="shared" si="2"/>
        <v>1414759.00289089</v>
      </c>
    </row>
    <row r="99" spans="1:21" x14ac:dyDescent="0.35">
      <c r="A99" s="3" t="s">
        <v>60</v>
      </c>
      <c r="B99" s="16">
        <v>7.5616735127273667E-7</v>
      </c>
      <c r="C99" s="8" t="s">
        <v>130</v>
      </c>
      <c r="D99" s="8" t="s">
        <v>337</v>
      </c>
      <c r="E99" s="25">
        <v>0</v>
      </c>
      <c r="F99" s="25">
        <v>0</v>
      </c>
      <c r="G99" s="25">
        <f>$B99*'Walgreens National Payments'!E$22</f>
        <v>2.6888108200287126</v>
      </c>
      <c r="H99" s="25">
        <f>$B99*'Walgreens National Payments'!F$22</f>
        <v>2.6888108200287126</v>
      </c>
      <c r="I99" s="25">
        <f>$B99*'Walgreens National Payments'!G$22</f>
        <v>2.6888108200287126</v>
      </c>
      <c r="J99" s="25">
        <f>$B99*'Walgreens National Payments'!H$22</f>
        <v>2.6888108200287126</v>
      </c>
      <c r="K99" s="25">
        <f>$B99*'Walgreens National Payments'!I$22</f>
        <v>2.6888108200287126</v>
      </c>
      <c r="L99" s="25">
        <f>$B99*'Walgreens National Payments'!J$22</f>
        <v>4.0735434361148624</v>
      </c>
      <c r="M99" s="25">
        <f>$B99*'Walgreens National Payments'!K$22</f>
        <v>4.0735434361148624</v>
      </c>
      <c r="N99" s="25">
        <f>$B99*'Walgreens National Payments'!L$22</f>
        <v>4.0735434361148624</v>
      </c>
      <c r="O99" s="25">
        <f>$B99*'Walgreens National Payments'!M$22</f>
        <v>4.0735434361148624</v>
      </c>
      <c r="P99" s="25">
        <f>$B99*'Walgreens National Payments'!N$22</f>
        <v>4.0735434361148624</v>
      </c>
      <c r="Q99" s="25">
        <f>$B99*'Walgreens National Payments'!O$22</f>
        <v>4.0735434361148624</v>
      </c>
      <c r="R99" s="25">
        <f>$B99*'Walgreens National Payments'!P$22</f>
        <v>4.0735434361148624</v>
      </c>
      <c r="S99" s="25">
        <f>$B99*'Walgreens National Payments'!Q$22</f>
        <v>4.0735434361148624</v>
      </c>
      <c r="T99" s="26" t="s">
        <v>346</v>
      </c>
      <c r="U99" s="26">
        <f t="shared" si="2"/>
        <v>46.032401589062452</v>
      </c>
    </row>
    <row r="100" spans="1:21" x14ac:dyDescent="0.35">
      <c r="A100" s="3" t="s">
        <v>24</v>
      </c>
      <c r="B100" s="16">
        <v>7.2026920920619308E-5</v>
      </c>
      <c r="C100" s="8" t="s">
        <v>131</v>
      </c>
      <c r="D100" s="8" t="s">
        <v>337</v>
      </c>
      <c r="E100" s="25">
        <v>0</v>
      </c>
      <c r="F100" s="25">
        <v>0</v>
      </c>
      <c r="G100" s="25">
        <f>$B100*'Walgreens National Payments'!E$22</f>
        <v>256.11627370415431</v>
      </c>
      <c r="H100" s="25">
        <f>$B100*'Walgreens National Payments'!F$22</f>
        <v>256.11627370415431</v>
      </c>
      <c r="I100" s="25">
        <f>$B100*'Walgreens National Payments'!G$22</f>
        <v>256.11627370415431</v>
      </c>
      <c r="J100" s="25">
        <f>$B100*'Walgreens National Payments'!H$22</f>
        <v>256.11627370415431</v>
      </c>
      <c r="K100" s="25">
        <f>$B100*'Walgreens National Payments'!I$22</f>
        <v>256.11627370415431</v>
      </c>
      <c r="L100" s="25">
        <f>$B100*'Walgreens National Payments'!J$22</f>
        <v>388.0156825680337</v>
      </c>
      <c r="M100" s="25">
        <f>$B100*'Walgreens National Payments'!K$22</f>
        <v>388.0156825680337</v>
      </c>
      <c r="N100" s="25">
        <f>$B100*'Walgreens National Payments'!L$22</f>
        <v>388.0156825680337</v>
      </c>
      <c r="O100" s="25">
        <f>$B100*'Walgreens National Payments'!M$22</f>
        <v>388.0156825680337</v>
      </c>
      <c r="P100" s="25">
        <f>$B100*'Walgreens National Payments'!N$22</f>
        <v>388.0156825680337</v>
      </c>
      <c r="Q100" s="25">
        <f>$B100*'Walgreens National Payments'!O$22</f>
        <v>388.0156825680337</v>
      </c>
      <c r="R100" s="25">
        <f>$B100*'Walgreens National Payments'!P$22</f>
        <v>388.0156825680337</v>
      </c>
      <c r="S100" s="25">
        <f>$B100*'Walgreens National Payments'!Q$22</f>
        <v>388.0156825680337</v>
      </c>
      <c r="T100" s="26" t="s">
        <v>346</v>
      </c>
      <c r="U100" s="26">
        <f t="shared" si="2"/>
        <v>4384.7068290650413</v>
      </c>
    </row>
    <row r="101" spans="1:21" x14ac:dyDescent="0.35">
      <c r="A101" s="3" t="s">
        <v>132</v>
      </c>
      <c r="B101" s="16">
        <v>2.150307736298917E-3</v>
      </c>
      <c r="C101" s="8" t="s">
        <v>132</v>
      </c>
      <c r="D101" s="33" t="str">
        <f t="shared" ref="D101:D104" si="5">IF(B101&lt;0.000083,"Yes","No")</f>
        <v>No</v>
      </c>
      <c r="E101" s="25">
        <v>10514.23</v>
      </c>
      <c r="F101" s="25">
        <v>5835.37</v>
      </c>
      <c r="G101" s="25">
        <f>$B101*'Walgreens National Payments'!E$22</f>
        <v>7646.1522677756948</v>
      </c>
      <c r="H101" s="25">
        <f>$B101*'Walgreens National Payments'!F$22</f>
        <v>7646.1522677756948</v>
      </c>
      <c r="I101" s="25">
        <f>$B101*'Walgreens National Payments'!G$22</f>
        <v>7646.1522677756948</v>
      </c>
      <c r="J101" s="25">
        <f>$B101*'Walgreens National Payments'!H$22</f>
        <v>7646.1522677756948</v>
      </c>
      <c r="K101" s="25">
        <f>$B101*'Walgreens National Payments'!I$22</f>
        <v>7646.1522677756948</v>
      </c>
      <c r="L101" s="25">
        <f>$B101*'Walgreens National Payments'!J$22</f>
        <v>11583.906591687935</v>
      </c>
      <c r="M101" s="25">
        <f>$B101*'Walgreens National Payments'!K$22</f>
        <v>11583.906591687935</v>
      </c>
      <c r="N101" s="25">
        <f>$B101*'Walgreens National Payments'!L$22</f>
        <v>11583.906591687935</v>
      </c>
      <c r="O101" s="25">
        <f>$B101*'Walgreens National Payments'!M$22</f>
        <v>11583.906591687935</v>
      </c>
      <c r="P101" s="25">
        <f>$B101*'Walgreens National Payments'!N$22</f>
        <v>11583.906591687935</v>
      </c>
      <c r="Q101" s="25">
        <f>$B101*'Walgreens National Payments'!O$22</f>
        <v>11583.906591687935</v>
      </c>
      <c r="R101" s="25">
        <f>$B101*'Walgreens National Payments'!P$22</f>
        <v>11583.906591687935</v>
      </c>
      <c r="S101" s="25">
        <f>$B101*'Walgreens National Payments'!Q$22</f>
        <v>11583.906591687935</v>
      </c>
      <c r="T101" s="26" t="s">
        <v>346</v>
      </c>
      <c r="U101" s="26">
        <f t="shared" si="2"/>
        <v>147251.61407238196</v>
      </c>
    </row>
    <row r="102" spans="1:21" x14ac:dyDescent="0.35">
      <c r="A102" s="3" t="s">
        <v>133</v>
      </c>
      <c r="B102" s="16">
        <v>7.4672268357818962E-4</v>
      </c>
      <c r="C102" s="8" t="s">
        <v>133</v>
      </c>
      <c r="D102" s="33" t="str">
        <f t="shared" si="5"/>
        <v>No</v>
      </c>
      <c r="E102" s="25">
        <v>3651.21</v>
      </c>
      <c r="F102" s="25">
        <v>2026.41</v>
      </c>
      <c r="G102" s="25">
        <f>$B102*'Walgreens National Payments'!E$22</f>
        <v>2655.2270840396745</v>
      </c>
      <c r="H102" s="25">
        <f>$B102*'Walgreens National Payments'!F$22</f>
        <v>2655.2270840396745</v>
      </c>
      <c r="I102" s="25">
        <f>$B102*'Walgreens National Payments'!G$22</f>
        <v>2655.2270840396745</v>
      </c>
      <c r="J102" s="25">
        <f>$B102*'Walgreens National Payments'!H$22</f>
        <v>2655.2270840396745</v>
      </c>
      <c r="K102" s="25">
        <f>$B102*'Walgreens National Payments'!I$22</f>
        <v>2655.2270840396745</v>
      </c>
      <c r="L102" s="25">
        <f>$B102*'Walgreens National Payments'!J$22</f>
        <v>4022.6641379956664</v>
      </c>
      <c r="M102" s="25">
        <f>$B102*'Walgreens National Payments'!K$22</f>
        <v>4022.6641379956664</v>
      </c>
      <c r="N102" s="25">
        <f>$B102*'Walgreens National Payments'!L$22</f>
        <v>4022.6641379956664</v>
      </c>
      <c r="O102" s="25">
        <f>$B102*'Walgreens National Payments'!M$22</f>
        <v>4022.6641379956664</v>
      </c>
      <c r="P102" s="25">
        <f>$B102*'Walgreens National Payments'!N$22</f>
        <v>4022.6641379956664</v>
      </c>
      <c r="Q102" s="25">
        <f>$B102*'Walgreens National Payments'!O$22</f>
        <v>4022.6641379956664</v>
      </c>
      <c r="R102" s="25">
        <f>$B102*'Walgreens National Payments'!P$22</f>
        <v>4022.6641379956664</v>
      </c>
      <c r="S102" s="25">
        <f>$B102*'Walgreens National Payments'!Q$22</f>
        <v>4022.6641379956664</v>
      </c>
      <c r="T102" s="26" t="s">
        <v>346</v>
      </c>
      <c r="U102" s="26">
        <f t="shared" si="2"/>
        <v>51135.068524163697</v>
      </c>
    </row>
    <row r="103" spans="1:21" x14ac:dyDescent="0.35">
      <c r="A103" s="3" t="s">
        <v>63</v>
      </c>
      <c r="B103" s="16">
        <v>2.0983361149949468E-4</v>
      </c>
      <c r="C103" s="8" t="s">
        <v>134</v>
      </c>
      <c r="D103" s="33" t="str">
        <f t="shared" si="5"/>
        <v>No</v>
      </c>
      <c r="E103" s="25">
        <v>1026.01</v>
      </c>
      <c r="F103" s="25">
        <v>569.42999999999995</v>
      </c>
      <c r="G103" s="25">
        <f>$B103*'Walgreens National Payments'!E$22</f>
        <v>746.13494493766405</v>
      </c>
      <c r="H103" s="25">
        <f>$B103*'Walgreens National Payments'!F$22</f>
        <v>746.13494493766405</v>
      </c>
      <c r="I103" s="25">
        <f>$B103*'Walgreens National Payments'!G$22</f>
        <v>746.13494493766405</v>
      </c>
      <c r="J103" s="25">
        <f>$B103*'Walgreens National Payments'!H$22</f>
        <v>746.13494493766405</v>
      </c>
      <c r="K103" s="25">
        <f>$B103*'Walgreens National Payments'!I$22</f>
        <v>746.13494493766405</v>
      </c>
      <c r="L103" s="25">
        <f>$B103*'Walgreens National Payments'!J$22</f>
        <v>1130.393066245653</v>
      </c>
      <c r="M103" s="25">
        <f>$B103*'Walgreens National Payments'!K$22</f>
        <v>1130.393066245653</v>
      </c>
      <c r="N103" s="25">
        <f>$B103*'Walgreens National Payments'!L$22</f>
        <v>1130.393066245653</v>
      </c>
      <c r="O103" s="25">
        <f>$B103*'Walgreens National Payments'!M$22</f>
        <v>1130.393066245653</v>
      </c>
      <c r="P103" s="25">
        <f>$B103*'Walgreens National Payments'!N$22</f>
        <v>1130.393066245653</v>
      </c>
      <c r="Q103" s="25">
        <f>$B103*'Walgreens National Payments'!O$22</f>
        <v>1130.393066245653</v>
      </c>
      <c r="R103" s="25">
        <f>$B103*'Walgreens National Payments'!P$22</f>
        <v>1130.393066245653</v>
      </c>
      <c r="S103" s="25">
        <f>$B103*'Walgreens National Payments'!Q$22</f>
        <v>1130.393066245653</v>
      </c>
      <c r="T103" s="26" t="s">
        <v>346</v>
      </c>
      <c r="U103" s="26">
        <f t="shared" si="2"/>
        <v>14369.259254653545</v>
      </c>
    </row>
    <row r="104" spans="1:21" x14ac:dyDescent="0.35">
      <c r="A104" s="3" t="s">
        <v>24</v>
      </c>
      <c r="B104" s="16">
        <v>1.1276184998321618E-4</v>
      </c>
      <c r="C104" s="8" t="s">
        <v>135</v>
      </c>
      <c r="D104" s="33" t="str">
        <f t="shared" si="5"/>
        <v>No</v>
      </c>
      <c r="E104" s="25">
        <v>551.36</v>
      </c>
      <c r="F104" s="25">
        <v>306.01</v>
      </c>
      <c r="G104" s="25">
        <f>$B104*'Walgreens National Payments'!E$22</f>
        <v>400.96320187721091</v>
      </c>
      <c r="H104" s="25">
        <f>$B104*'Walgreens National Payments'!F$22</f>
        <v>400.96320187721091</v>
      </c>
      <c r="I104" s="25">
        <f>$B104*'Walgreens National Payments'!G$22</f>
        <v>400.96320187721091</v>
      </c>
      <c r="J104" s="25">
        <f>$B104*'Walgreens National Payments'!H$22</f>
        <v>400.96320187721091</v>
      </c>
      <c r="K104" s="25">
        <f>$B104*'Walgreens National Payments'!I$22</f>
        <v>400.96320187721091</v>
      </c>
      <c r="L104" s="25">
        <f>$B104*'Walgreens National Payments'!J$22</f>
        <v>607.45851175690711</v>
      </c>
      <c r="M104" s="25">
        <f>$B104*'Walgreens National Payments'!K$22</f>
        <v>607.45851175690711</v>
      </c>
      <c r="N104" s="25">
        <f>$B104*'Walgreens National Payments'!L$22</f>
        <v>607.45851175690711</v>
      </c>
      <c r="O104" s="25">
        <f>$B104*'Walgreens National Payments'!M$22</f>
        <v>607.45851175690711</v>
      </c>
      <c r="P104" s="25">
        <f>$B104*'Walgreens National Payments'!N$22</f>
        <v>607.45851175690711</v>
      </c>
      <c r="Q104" s="25">
        <f>$B104*'Walgreens National Payments'!O$22</f>
        <v>607.45851175690711</v>
      </c>
      <c r="R104" s="25">
        <f>$B104*'Walgreens National Payments'!P$22</f>
        <v>607.45851175690711</v>
      </c>
      <c r="S104" s="25">
        <f>$B104*'Walgreens National Payments'!Q$22</f>
        <v>607.45851175690711</v>
      </c>
      <c r="T104" s="26" t="s">
        <v>346</v>
      </c>
      <c r="U104" s="26">
        <f t="shared" si="2"/>
        <v>7721.8541034413101</v>
      </c>
    </row>
    <row r="105" spans="1:21" x14ac:dyDescent="0.35">
      <c r="A105" s="3" t="s">
        <v>24</v>
      </c>
      <c r="B105" s="16">
        <v>3.4772891380126724E-4</v>
      </c>
      <c r="C105" s="8" t="s">
        <v>136</v>
      </c>
      <c r="D105" s="8" t="s">
        <v>337</v>
      </c>
      <c r="E105" s="25">
        <v>0</v>
      </c>
      <c r="F105" s="25">
        <v>0</v>
      </c>
      <c r="G105" s="25">
        <f>$B105*'Walgreens National Payments'!E$22</f>
        <v>1236.4687053626155</v>
      </c>
      <c r="H105" s="25">
        <f>$B105*'Walgreens National Payments'!F$22</f>
        <v>1236.4687053626155</v>
      </c>
      <c r="I105" s="25">
        <f>$B105*'Walgreens National Payments'!G$22</f>
        <v>1236.4687053626155</v>
      </c>
      <c r="J105" s="25">
        <f>$B105*'Walgreens National Payments'!H$22</f>
        <v>1236.4687053626155</v>
      </c>
      <c r="K105" s="25">
        <f>$B105*'Walgreens National Payments'!I$22</f>
        <v>1236.4687053626155</v>
      </c>
      <c r="L105" s="25">
        <f>$B105*'Walgreens National Payments'!J$22</f>
        <v>1873.2478094675096</v>
      </c>
      <c r="M105" s="25">
        <f>$B105*'Walgreens National Payments'!K$22</f>
        <v>1873.2478094675096</v>
      </c>
      <c r="N105" s="25">
        <f>$B105*'Walgreens National Payments'!L$22</f>
        <v>1873.2478094675096</v>
      </c>
      <c r="O105" s="25">
        <f>$B105*'Walgreens National Payments'!M$22</f>
        <v>1873.2478094675096</v>
      </c>
      <c r="P105" s="25">
        <f>$B105*'Walgreens National Payments'!N$22</f>
        <v>1873.2478094675096</v>
      </c>
      <c r="Q105" s="25">
        <f>$B105*'Walgreens National Payments'!O$22</f>
        <v>1873.2478094675096</v>
      </c>
      <c r="R105" s="25">
        <f>$B105*'Walgreens National Payments'!P$22</f>
        <v>1873.2478094675096</v>
      </c>
      <c r="S105" s="25">
        <f>$B105*'Walgreens National Payments'!Q$22</f>
        <v>1873.2478094675096</v>
      </c>
      <c r="T105" s="26" t="s">
        <v>346</v>
      </c>
      <c r="U105" s="26">
        <f t="shared" si="2"/>
        <v>21168.326002553156</v>
      </c>
    </row>
    <row r="106" spans="1:21" x14ac:dyDescent="0.35">
      <c r="A106" s="3" t="s">
        <v>14</v>
      </c>
      <c r="B106" s="16">
        <v>3.7568288969454963E-5</v>
      </c>
      <c r="C106" s="8" t="s">
        <v>137</v>
      </c>
      <c r="D106" s="33" t="str">
        <f t="shared" ref="D106:D118" si="6">IF(B106&lt;0.000083,"Yes","No")</f>
        <v>Yes</v>
      </c>
      <c r="E106" s="25">
        <v>2719.19</v>
      </c>
      <c r="F106" s="48">
        <v>0</v>
      </c>
      <c r="G106" s="100">
        <f>$B106*'Walgreens National Payments'!E$22</f>
        <v>133.58685970905111</v>
      </c>
      <c r="H106" s="100">
        <f>$B106*'Walgreens National Payments'!F$22</f>
        <v>133.58685970905111</v>
      </c>
      <c r="I106" s="100">
        <f>$B106*'Walgreens National Payments'!G$22</f>
        <v>133.58685970905111</v>
      </c>
      <c r="J106" s="100">
        <f>$B106*'Walgreens National Payments'!H$22</f>
        <v>133.58685970905111</v>
      </c>
      <c r="K106" s="100">
        <f>$B106*'Walgreens National Payments'!I$22</f>
        <v>133.58685970905111</v>
      </c>
      <c r="L106" s="100">
        <f>$B106*'Walgreens National Payments'!J$22</f>
        <v>202.38384622135339</v>
      </c>
      <c r="M106" s="100">
        <f>$B106*'Walgreens National Payments'!K$22</f>
        <v>202.38384622135339</v>
      </c>
      <c r="N106" s="100">
        <f>$B106*'Walgreens National Payments'!L$22</f>
        <v>202.38384622135339</v>
      </c>
      <c r="O106" s="100">
        <f>$B106*'Walgreens National Payments'!M$22</f>
        <v>202.38384622135339</v>
      </c>
      <c r="P106" s="100">
        <f>$B106*'Walgreens National Payments'!N$22</f>
        <v>202.38384622135339</v>
      </c>
      <c r="Q106" s="100">
        <f>$B106*'Walgreens National Payments'!O$22</f>
        <v>202.38384622135339</v>
      </c>
      <c r="R106" s="100">
        <f>$B106*'Walgreens National Payments'!P$22</f>
        <v>202.38384622135339</v>
      </c>
      <c r="S106" s="100">
        <f>$B106*'Walgreens National Payments'!Q$22</f>
        <v>202.38384622135339</v>
      </c>
      <c r="T106" s="26" t="s">
        <v>346</v>
      </c>
      <c r="U106" s="26">
        <f t="shared" si="2"/>
        <v>5006.1950683160831</v>
      </c>
    </row>
    <row r="107" spans="1:21" x14ac:dyDescent="0.35">
      <c r="A107" s="3" t="s">
        <v>14</v>
      </c>
      <c r="B107" s="16">
        <v>1.3440310107840001E-2</v>
      </c>
      <c r="C107" s="8" t="s">
        <v>138</v>
      </c>
      <c r="D107" s="33" t="str">
        <f t="shared" si="6"/>
        <v>No</v>
      </c>
      <c r="E107" s="25">
        <v>65718.289999999994</v>
      </c>
      <c r="F107" s="25">
        <v>36473.47</v>
      </c>
      <c r="G107" s="25">
        <f>$B107*'Walgreens National Payments'!E$22</f>
        <v>47791.604836780301</v>
      </c>
      <c r="H107" s="25">
        <f>$B107*'Walgreens National Payments'!F$22</f>
        <v>47791.604836780301</v>
      </c>
      <c r="I107" s="25">
        <f>$B107*'Walgreens National Payments'!G$22</f>
        <v>47791.604836780301</v>
      </c>
      <c r="J107" s="25">
        <f>$B107*'Walgreens National Payments'!H$22</f>
        <v>47791.604836780301</v>
      </c>
      <c r="K107" s="25">
        <f>$B107*'Walgreens National Payments'!I$22</f>
        <v>47791.604836780301</v>
      </c>
      <c r="L107" s="25">
        <f>$B107*'Walgreens National Payments'!J$22</f>
        <v>72404.193234458478</v>
      </c>
      <c r="M107" s="25">
        <f>$B107*'Walgreens National Payments'!K$22</f>
        <v>72404.193234458478</v>
      </c>
      <c r="N107" s="25">
        <f>$B107*'Walgreens National Payments'!L$22</f>
        <v>72404.193234458478</v>
      </c>
      <c r="O107" s="25">
        <f>$B107*'Walgreens National Payments'!M$22</f>
        <v>72404.193234458478</v>
      </c>
      <c r="P107" s="25">
        <f>$B107*'Walgreens National Payments'!N$22</f>
        <v>72404.193234458478</v>
      </c>
      <c r="Q107" s="25">
        <f>$B107*'Walgreens National Payments'!O$22</f>
        <v>72404.193234458478</v>
      </c>
      <c r="R107" s="25">
        <f>$B107*'Walgreens National Payments'!P$22</f>
        <v>72404.193234458478</v>
      </c>
      <c r="S107" s="25">
        <f>$B107*'Walgreens National Payments'!Q$22</f>
        <v>72404.193234458478</v>
      </c>
      <c r="T107" s="26" t="s">
        <v>346</v>
      </c>
      <c r="U107" s="26">
        <f t="shared" si="2"/>
        <v>920383.3300595691</v>
      </c>
    </row>
    <row r="108" spans="1:21" x14ac:dyDescent="0.35">
      <c r="A108" s="3" t="s">
        <v>99</v>
      </c>
      <c r="B108" s="16">
        <v>9.2338019804800008E-3</v>
      </c>
      <c r="C108" s="8" t="s">
        <v>99</v>
      </c>
      <c r="D108" s="33" t="str">
        <f t="shared" si="6"/>
        <v>No</v>
      </c>
      <c r="E108" s="25">
        <v>45444.32</v>
      </c>
      <c r="F108" s="25">
        <v>25058.11</v>
      </c>
      <c r="G108" s="25">
        <f>$B108*'Walgreens National Payments'!E$22</f>
        <v>32833.931051543332</v>
      </c>
      <c r="H108" s="25">
        <f>$B108*'Walgreens National Payments'!F$22</f>
        <v>32833.931051543332</v>
      </c>
      <c r="I108" s="25">
        <f>$B108*'Walgreens National Payments'!G$22</f>
        <v>32833.931051543332</v>
      </c>
      <c r="J108" s="25">
        <f>$B108*'Walgreens National Payments'!H$22</f>
        <v>32833.931051543332</v>
      </c>
      <c r="K108" s="25">
        <f>$B108*'Walgreens National Payments'!I$22</f>
        <v>32833.931051543332</v>
      </c>
      <c r="L108" s="25">
        <f>$B108*'Walgreens National Payments'!J$22</f>
        <v>49743.34502099111</v>
      </c>
      <c r="M108" s="25">
        <f>$B108*'Walgreens National Payments'!K$22</f>
        <v>49743.34502099111</v>
      </c>
      <c r="N108" s="25">
        <f>$B108*'Walgreens National Payments'!L$22</f>
        <v>49743.34502099111</v>
      </c>
      <c r="O108" s="25">
        <f>$B108*'Walgreens National Payments'!M$22</f>
        <v>49743.34502099111</v>
      </c>
      <c r="P108" s="25">
        <f>$B108*'Walgreens National Payments'!N$22</f>
        <v>49743.34502099111</v>
      </c>
      <c r="Q108" s="25">
        <f>$B108*'Walgreens National Payments'!O$22</f>
        <v>49743.34502099111</v>
      </c>
      <c r="R108" s="25">
        <f>$B108*'Walgreens National Payments'!P$22</f>
        <v>49743.34502099111</v>
      </c>
      <c r="S108" s="25">
        <f>$B108*'Walgreens National Payments'!Q$22</f>
        <v>49743.34502099111</v>
      </c>
      <c r="T108" s="26" t="s">
        <v>346</v>
      </c>
      <c r="U108" s="26">
        <f t="shared" si="2"/>
        <v>632618.84542564536</v>
      </c>
    </row>
    <row r="109" spans="1:21" x14ac:dyDescent="0.35">
      <c r="A109" s="3" t="s">
        <v>14</v>
      </c>
      <c r="B109" s="16">
        <v>2.7801574282541815E-4</v>
      </c>
      <c r="C109" s="8" t="s">
        <v>139</v>
      </c>
      <c r="D109" s="33" t="str">
        <f t="shared" si="6"/>
        <v>No</v>
      </c>
      <c r="E109" s="25">
        <v>1359.4</v>
      </c>
      <c r="F109" s="25">
        <v>754.46</v>
      </c>
      <c r="G109" s="25">
        <f>$B109*'Walgreens National Payments'!E$22</f>
        <v>988.57975842133692</v>
      </c>
      <c r="H109" s="25">
        <f>$B109*'Walgreens National Payments'!F$22</f>
        <v>988.57975842133692</v>
      </c>
      <c r="I109" s="25">
        <f>$B109*'Walgreens National Payments'!G$22</f>
        <v>988.57975842133692</v>
      </c>
      <c r="J109" s="25">
        <f>$B109*'Walgreens National Payments'!H$22</f>
        <v>988.57975842133692</v>
      </c>
      <c r="K109" s="25">
        <f>$B109*'Walgreens National Payments'!I$22</f>
        <v>988.57975842133692</v>
      </c>
      <c r="L109" s="25">
        <f>$B109*'Walgreens National Payments'!J$22</f>
        <v>1497.6965117799737</v>
      </c>
      <c r="M109" s="25">
        <f>$B109*'Walgreens National Payments'!K$22</f>
        <v>1497.6965117799737</v>
      </c>
      <c r="N109" s="25">
        <f>$B109*'Walgreens National Payments'!L$22</f>
        <v>1497.6965117799737</v>
      </c>
      <c r="O109" s="25">
        <f>$B109*'Walgreens National Payments'!M$22</f>
        <v>1497.6965117799737</v>
      </c>
      <c r="P109" s="25">
        <f>$B109*'Walgreens National Payments'!N$22</f>
        <v>1497.6965117799737</v>
      </c>
      <c r="Q109" s="25">
        <f>$B109*'Walgreens National Payments'!O$22</f>
        <v>1497.6965117799737</v>
      </c>
      <c r="R109" s="25">
        <f>$B109*'Walgreens National Payments'!P$22</f>
        <v>1497.6965117799737</v>
      </c>
      <c r="S109" s="25">
        <f>$B109*'Walgreens National Payments'!Q$22</f>
        <v>1497.6965117799737</v>
      </c>
      <c r="T109" s="26" t="s">
        <v>346</v>
      </c>
      <c r="U109" s="26">
        <f t="shared" si="2"/>
        <v>19038.330886346474</v>
      </c>
    </row>
    <row r="110" spans="1:21" x14ac:dyDescent="0.35">
      <c r="A110" s="3" t="s">
        <v>140</v>
      </c>
      <c r="B110" s="16">
        <v>3.5251722027200001E-3</v>
      </c>
      <c r="C110" s="8" t="s">
        <v>140</v>
      </c>
      <c r="D110" s="33" t="str">
        <f t="shared" si="6"/>
        <v>No</v>
      </c>
      <c r="E110" s="25">
        <v>17236.830000000002</v>
      </c>
      <c r="F110" s="25">
        <v>9566.39</v>
      </c>
      <c r="G110" s="25">
        <f>$B110*'Walgreens National Payments'!E$22</f>
        <v>12534.951615121037</v>
      </c>
      <c r="H110" s="25">
        <f>$B110*'Walgreens National Payments'!F$22</f>
        <v>12534.951615121037</v>
      </c>
      <c r="I110" s="25">
        <f>$B110*'Walgreens National Payments'!G$22</f>
        <v>12534.951615121037</v>
      </c>
      <c r="J110" s="25">
        <f>$B110*'Walgreens National Payments'!H$22</f>
        <v>12534.951615121037</v>
      </c>
      <c r="K110" s="25">
        <f>$B110*'Walgreens National Payments'!I$22</f>
        <v>12534.951615121037</v>
      </c>
      <c r="L110" s="25">
        <f>$B110*'Walgreens National Payments'!J$22</f>
        <v>18990.428591494743</v>
      </c>
      <c r="M110" s="25">
        <f>$B110*'Walgreens National Payments'!K$22</f>
        <v>18990.428591494743</v>
      </c>
      <c r="N110" s="25">
        <f>$B110*'Walgreens National Payments'!L$22</f>
        <v>18990.428591494743</v>
      </c>
      <c r="O110" s="25">
        <f>$B110*'Walgreens National Payments'!M$22</f>
        <v>18990.428591494743</v>
      </c>
      <c r="P110" s="25">
        <f>$B110*'Walgreens National Payments'!N$22</f>
        <v>18990.428591494743</v>
      </c>
      <c r="Q110" s="25">
        <f>$B110*'Walgreens National Payments'!O$22</f>
        <v>18990.428591494743</v>
      </c>
      <c r="R110" s="25">
        <f>$B110*'Walgreens National Payments'!P$22</f>
        <v>18990.428591494743</v>
      </c>
      <c r="S110" s="25">
        <f>$B110*'Walgreens National Payments'!Q$22</f>
        <v>18990.428591494743</v>
      </c>
      <c r="T110" s="26" t="s">
        <v>346</v>
      </c>
      <c r="U110" s="26">
        <f t="shared" si="2"/>
        <v>241401.40680756312</v>
      </c>
    </row>
    <row r="111" spans="1:21" x14ac:dyDescent="0.35">
      <c r="A111" s="3" t="s">
        <v>60</v>
      </c>
      <c r="B111" s="16">
        <v>3.2169530493678236E-4</v>
      </c>
      <c r="C111" s="8" t="s">
        <v>141</v>
      </c>
      <c r="D111" s="33" t="str">
        <f t="shared" si="6"/>
        <v>No</v>
      </c>
      <c r="E111" s="25">
        <v>1572.97</v>
      </c>
      <c r="F111" s="25">
        <v>873</v>
      </c>
      <c r="G111" s="25">
        <f>$B111*'Walgreens National Payments'!E$22</f>
        <v>1143.8973333225463</v>
      </c>
      <c r="H111" s="25">
        <f>$B111*'Walgreens National Payments'!F$22</f>
        <v>1143.8973333225463</v>
      </c>
      <c r="I111" s="25">
        <f>$B111*'Walgreens National Payments'!G$22</f>
        <v>1143.8973333225463</v>
      </c>
      <c r="J111" s="25">
        <f>$B111*'Walgreens National Payments'!H$22</f>
        <v>1143.8973333225463</v>
      </c>
      <c r="K111" s="25">
        <f>$B111*'Walgreens National Payments'!I$22</f>
        <v>1143.8973333225463</v>
      </c>
      <c r="L111" s="25">
        <f>$B111*'Walgreens National Payments'!J$22</f>
        <v>1733.0023514616746</v>
      </c>
      <c r="M111" s="25">
        <f>$B111*'Walgreens National Payments'!K$22</f>
        <v>1733.0023514616746</v>
      </c>
      <c r="N111" s="25">
        <f>$B111*'Walgreens National Payments'!L$22</f>
        <v>1733.0023514616746</v>
      </c>
      <c r="O111" s="25">
        <f>$B111*'Walgreens National Payments'!M$22</f>
        <v>1733.0023514616746</v>
      </c>
      <c r="P111" s="25">
        <f>$B111*'Walgreens National Payments'!N$22</f>
        <v>1733.0023514616746</v>
      </c>
      <c r="Q111" s="25">
        <f>$B111*'Walgreens National Payments'!O$22</f>
        <v>1733.0023514616746</v>
      </c>
      <c r="R111" s="25">
        <f>$B111*'Walgreens National Payments'!P$22</f>
        <v>1733.0023514616746</v>
      </c>
      <c r="S111" s="25">
        <f>$B111*'Walgreens National Payments'!Q$22</f>
        <v>1733.0023514616746</v>
      </c>
      <c r="T111" s="26" t="s">
        <v>346</v>
      </c>
      <c r="U111" s="26">
        <f t="shared" si="2"/>
        <v>22029.475478306125</v>
      </c>
    </row>
    <row r="112" spans="1:21" x14ac:dyDescent="0.35">
      <c r="A112" s="3" t="s">
        <v>22</v>
      </c>
      <c r="B112" s="16">
        <v>2.1422289115943018E-4</v>
      </c>
      <c r="C112" s="8" t="s">
        <v>142</v>
      </c>
      <c r="D112" s="33" t="str">
        <f t="shared" si="6"/>
        <v>No</v>
      </c>
      <c r="E112" s="25">
        <v>1047.47</v>
      </c>
      <c r="F112" s="25">
        <v>581.34</v>
      </c>
      <c r="G112" s="25">
        <f>$B112*'Walgreens National Payments'!E$22</f>
        <v>761.74252521986239</v>
      </c>
      <c r="H112" s="25">
        <f>$B112*'Walgreens National Payments'!F$22</f>
        <v>761.74252521986239</v>
      </c>
      <c r="I112" s="25">
        <f>$B112*'Walgreens National Payments'!G$22</f>
        <v>761.74252521986239</v>
      </c>
      <c r="J112" s="25">
        <f>$B112*'Walgreens National Payments'!H$22</f>
        <v>761.74252521986239</v>
      </c>
      <c r="K112" s="25">
        <f>$B112*'Walgreens National Payments'!I$22</f>
        <v>761.74252521986239</v>
      </c>
      <c r="L112" s="25">
        <f>$B112*'Walgreens National Payments'!J$22</f>
        <v>1154.0385216040579</v>
      </c>
      <c r="M112" s="25">
        <f>$B112*'Walgreens National Payments'!K$22</f>
        <v>1154.0385216040579</v>
      </c>
      <c r="N112" s="25">
        <f>$B112*'Walgreens National Payments'!L$22</f>
        <v>1154.0385216040579</v>
      </c>
      <c r="O112" s="25">
        <f>$B112*'Walgreens National Payments'!M$22</f>
        <v>1154.0385216040579</v>
      </c>
      <c r="P112" s="25">
        <f>$B112*'Walgreens National Payments'!N$22</f>
        <v>1154.0385216040579</v>
      </c>
      <c r="Q112" s="25">
        <f>$B112*'Walgreens National Payments'!O$22</f>
        <v>1154.0385216040579</v>
      </c>
      <c r="R112" s="25">
        <f>$B112*'Walgreens National Payments'!P$22</f>
        <v>1154.0385216040579</v>
      </c>
      <c r="S112" s="25">
        <f>$B112*'Walgreens National Payments'!Q$22</f>
        <v>1154.0385216040579</v>
      </c>
      <c r="T112" s="26" t="s">
        <v>346</v>
      </c>
      <c r="U112" s="26">
        <f t="shared" si="2"/>
        <v>14669.830798931775</v>
      </c>
    </row>
    <row r="113" spans="1:21" x14ac:dyDescent="0.35">
      <c r="A113" s="3" t="s">
        <v>22</v>
      </c>
      <c r="B113" s="16">
        <v>2.8311153863745328E-4</v>
      </c>
      <c r="C113" s="8" t="s">
        <v>143</v>
      </c>
      <c r="D113" s="33" t="str">
        <f t="shared" si="6"/>
        <v>No</v>
      </c>
      <c r="E113" s="25">
        <v>1384.31</v>
      </c>
      <c r="F113" s="25">
        <v>768.29</v>
      </c>
      <c r="G113" s="25">
        <f>$B113*'Walgreens National Payments'!E$22</f>
        <v>1006.6995977571603</v>
      </c>
      <c r="H113" s="25">
        <f>$B113*'Walgreens National Payments'!F$22</f>
        <v>1006.6995977571603</v>
      </c>
      <c r="I113" s="25">
        <f>$B113*'Walgreens National Payments'!G$22</f>
        <v>1006.6995977571603</v>
      </c>
      <c r="J113" s="25">
        <f>$B113*'Walgreens National Payments'!H$22</f>
        <v>1006.6995977571603</v>
      </c>
      <c r="K113" s="25">
        <f>$B113*'Walgreens National Payments'!I$22</f>
        <v>1006.6995977571603</v>
      </c>
      <c r="L113" s="25">
        <f>$B113*'Walgreens National Payments'!J$22</f>
        <v>1525.1480349738258</v>
      </c>
      <c r="M113" s="25">
        <f>$B113*'Walgreens National Payments'!K$22</f>
        <v>1525.1480349738258</v>
      </c>
      <c r="N113" s="25">
        <f>$B113*'Walgreens National Payments'!L$22</f>
        <v>1525.1480349738258</v>
      </c>
      <c r="O113" s="25">
        <f>$B113*'Walgreens National Payments'!M$22</f>
        <v>1525.1480349738258</v>
      </c>
      <c r="P113" s="25">
        <f>$B113*'Walgreens National Payments'!N$22</f>
        <v>1525.1480349738258</v>
      </c>
      <c r="Q113" s="25">
        <f>$B113*'Walgreens National Payments'!O$22</f>
        <v>1525.1480349738258</v>
      </c>
      <c r="R113" s="25">
        <f>$B113*'Walgreens National Payments'!P$22</f>
        <v>1525.1480349738258</v>
      </c>
      <c r="S113" s="25">
        <f>$B113*'Walgreens National Payments'!Q$22</f>
        <v>1525.1480349738258</v>
      </c>
      <c r="T113" s="26" t="s">
        <v>346</v>
      </c>
      <c r="U113" s="26">
        <f t="shared" si="2"/>
        <v>19387.282268576415</v>
      </c>
    </row>
    <row r="114" spans="1:21" x14ac:dyDescent="0.35">
      <c r="A114" s="3" t="s">
        <v>22</v>
      </c>
      <c r="B114" s="16">
        <v>2.0174925054156607E-4</v>
      </c>
      <c r="C114" s="8" t="s">
        <v>144</v>
      </c>
      <c r="D114" s="33" t="str">
        <f t="shared" si="6"/>
        <v>No</v>
      </c>
      <c r="E114" s="25">
        <v>986.48</v>
      </c>
      <c r="F114" s="25">
        <v>547.49</v>
      </c>
      <c r="G114" s="25">
        <f>$B114*'Walgreens National Payments'!E$22</f>
        <v>717.38824332444415</v>
      </c>
      <c r="H114" s="25">
        <f>$B114*'Walgreens National Payments'!F$22</f>
        <v>717.38824332444415</v>
      </c>
      <c r="I114" s="25">
        <f>$B114*'Walgreens National Payments'!G$22</f>
        <v>717.38824332444415</v>
      </c>
      <c r="J114" s="25">
        <f>$B114*'Walgreens National Payments'!H$22</f>
        <v>717.38824332444415</v>
      </c>
      <c r="K114" s="25">
        <f>$B114*'Walgreens National Payments'!I$22</f>
        <v>717.38824332444415</v>
      </c>
      <c r="L114" s="25">
        <f>$B114*'Walgreens National Payments'!J$22</f>
        <v>1086.8418662898177</v>
      </c>
      <c r="M114" s="25">
        <f>$B114*'Walgreens National Payments'!K$22</f>
        <v>1086.8418662898177</v>
      </c>
      <c r="N114" s="25">
        <f>$B114*'Walgreens National Payments'!L$22</f>
        <v>1086.8418662898177</v>
      </c>
      <c r="O114" s="25">
        <f>$B114*'Walgreens National Payments'!M$22</f>
        <v>1086.8418662898177</v>
      </c>
      <c r="P114" s="25">
        <f>$B114*'Walgreens National Payments'!N$22</f>
        <v>1086.8418662898177</v>
      </c>
      <c r="Q114" s="25">
        <f>$B114*'Walgreens National Payments'!O$22</f>
        <v>1086.8418662898177</v>
      </c>
      <c r="R114" s="25">
        <f>$B114*'Walgreens National Payments'!P$22</f>
        <v>1086.8418662898177</v>
      </c>
      <c r="S114" s="25">
        <f>$B114*'Walgreens National Payments'!Q$22</f>
        <v>1086.8418662898177</v>
      </c>
      <c r="T114" s="26" t="s">
        <v>346</v>
      </c>
      <c r="U114" s="26">
        <f t="shared" si="2"/>
        <v>13815.646146940766</v>
      </c>
    </row>
    <row r="115" spans="1:21" x14ac:dyDescent="0.35">
      <c r="A115" s="3" t="s">
        <v>60</v>
      </c>
      <c r="B115" s="16">
        <v>3.393032077207899E-4</v>
      </c>
      <c r="C115" s="8" t="s">
        <v>145</v>
      </c>
      <c r="D115" s="33" t="str">
        <f t="shared" si="6"/>
        <v>No</v>
      </c>
      <c r="E115" s="25">
        <v>1659.07</v>
      </c>
      <c r="F115" s="25">
        <v>920.78</v>
      </c>
      <c r="G115" s="25">
        <f>$B115*'Walgreens National Payments'!E$22</f>
        <v>1206.5082347902783</v>
      </c>
      <c r="H115" s="25">
        <f>$B115*'Walgreens National Payments'!F$22</f>
        <v>1206.5082347902783</v>
      </c>
      <c r="I115" s="25">
        <f>$B115*'Walgreens National Payments'!G$22</f>
        <v>1206.5082347902783</v>
      </c>
      <c r="J115" s="25">
        <f>$B115*'Walgreens National Payments'!H$22</f>
        <v>1206.5082347902783</v>
      </c>
      <c r="K115" s="25">
        <f>$B115*'Walgreens National Payments'!I$22</f>
        <v>1206.5082347902783</v>
      </c>
      <c r="L115" s="25">
        <f>$B115*'Walgreens National Payments'!J$22</f>
        <v>1827.8577517759259</v>
      </c>
      <c r="M115" s="25">
        <f>$B115*'Walgreens National Payments'!K$22</f>
        <v>1827.8577517759259</v>
      </c>
      <c r="N115" s="25">
        <f>$B115*'Walgreens National Payments'!L$22</f>
        <v>1827.8577517759259</v>
      </c>
      <c r="O115" s="25">
        <f>$B115*'Walgreens National Payments'!M$22</f>
        <v>1827.8577517759259</v>
      </c>
      <c r="P115" s="25">
        <f>$B115*'Walgreens National Payments'!N$22</f>
        <v>1827.8577517759259</v>
      </c>
      <c r="Q115" s="25">
        <f>$B115*'Walgreens National Payments'!O$22</f>
        <v>1827.8577517759259</v>
      </c>
      <c r="R115" s="25">
        <f>$B115*'Walgreens National Payments'!P$22</f>
        <v>1827.8577517759259</v>
      </c>
      <c r="S115" s="25">
        <f>$B115*'Walgreens National Payments'!Q$22</f>
        <v>1827.8577517759259</v>
      </c>
      <c r="T115" s="26" t="s">
        <v>346</v>
      </c>
      <c r="U115" s="26">
        <f t="shared" si="2"/>
        <v>23235.2531881588</v>
      </c>
    </row>
    <row r="116" spans="1:21" x14ac:dyDescent="0.35">
      <c r="A116" s="3" t="s">
        <v>22</v>
      </c>
      <c r="B116" s="16">
        <v>1.0823453984616879E-3</v>
      </c>
      <c r="C116" s="8" t="s">
        <v>146</v>
      </c>
      <c r="D116" s="33" t="str">
        <f t="shared" si="6"/>
        <v>No</v>
      </c>
      <c r="E116" s="25">
        <v>5292.28</v>
      </c>
      <c r="F116" s="25">
        <v>2937.2</v>
      </c>
      <c r="G116" s="25">
        <f>$B116*'Walgreens National Payments'!E$22</f>
        <v>3848.6480717446466</v>
      </c>
      <c r="H116" s="25">
        <f>$B116*'Walgreens National Payments'!F$22</f>
        <v>3848.6480717446466</v>
      </c>
      <c r="I116" s="25">
        <f>$B116*'Walgreens National Payments'!G$22</f>
        <v>3848.6480717446466</v>
      </c>
      <c r="J116" s="25">
        <f>$B116*'Walgreens National Payments'!H$22</f>
        <v>3848.6480717446466</v>
      </c>
      <c r="K116" s="25">
        <f>$B116*'Walgreens National Payments'!I$22</f>
        <v>3848.6480717446466</v>
      </c>
      <c r="L116" s="25">
        <f>$B116*'Walgreens National Payments'!J$22</f>
        <v>5830.6947345608014</v>
      </c>
      <c r="M116" s="25">
        <f>$B116*'Walgreens National Payments'!K$22</f>
        <v>5830.6947345608014</v>
      </c>
      <c r="N116" s="25">
        <f>$B116*'Walgreens National Payments'!L$22</f>
        <v>5830.6947345608014</v>
      </c>
      <c r="O116" s="25">
        <f>$B116*'Walgreens National Payments'!M$22</f>
        <v>5830.6947345608014</v>
      </c>
      <c r="P116" s="25">
        <f>$B116*'Walgreens National Payments'!N$22</f>
        <v>5830.6947345608014</v>
      </c>
      <c r="Q116" s="25">
        <f>$B116*'Walgreens National Payments'!O$22</f>
        <v>5830.6947345608014</v>
      </c>
      <c r="R116" s="25">
        <f>$B116*'Walgreens National Payments'!P$22</f>
        <v>5830.6947345608014</v>
      </c>
      <c r="S116" s="25">
        <f>$B116*'Walgreens National Payments'!Q$22</f>
        <v>5830.6947345608014</v>
      </c>
      <c r="T116" s="26" t="s">
        <v>346</v>
      </c>
      <c r="U116" s="26">
        <f t="shared" si="2"/>
        <v>74118.27823520964</v>
      </c>
    </row>
    <row r="117" spans="1:21" x14ac:dyDescent="0.35">
      <c r="A117" s="3" t="s">
        <v>22</v>
      </c>
      <c r="B117" s="16">
        <v>3.0210647514547408E-4</v>
      </c>
      <c r="C117" s="8" t="s">
        <v>147</v>
      </c>
      <c r="D117" s="33" t="str">
        <f t="shared" si="6"/>
        <v>No</v>
      </c>
      <c r="E117" s="25">
        <v>1477.19</v>
      </c>
      <c r="F117" s="25">
        <v>819.84</v>
      </c>
      <c r="G117" s="25">
        <f>$B117*'Walgreens National Payments'!E$22</f>
        <v>1074.2425705165108</v>
      </c>
      <c r="H117" s="25">
        <f>$B117*'Walgreens National Payments'!F$22</f>
        <v>1074.2425705165108</v>
      </c>
      <c r="I117" s="25">
        <f>$B117*'Walgreens National Payments'!G$22</f>
        <v>1074.2425705165108</v>
      </c>
      <c r="J117" s="25">
        <f>$B117*'Walgreens National Payments'!H$22</f>
        <v>1074.2425705165108</v>
      </c>
      <c r="K117" s="25">
        <f>$B117*'Walgreens National Payments'!I$22</f>
        <v>1074.2425705165108</v>
      </c>
      <c r="L117" s="25">
        <f>$B117*'Walgreens National Payments'!J$22</f>
        <v>1627.4755142036956</v>
      </c>
      <c r="M117" s="25">
        <f>$B117*'Walgreens National Payments'!K$22</f>
        <v>1627.4755142036956</v>
      </c>
      <c r="N117" s="25">
        <f>$B117*'Walgreens National Payments'!L$22</f>
        <v>1627.4755142036956</v>
      </c>
      <c r="O117" s="25">
        <f>$B117*'Walgreens National Payments'!M$22</f>
        <v>1627.4755142036956</v>
      </c>
      <c r="P117" s="25">
        <f>$B117*'Walgreens National Payments'!N$22</f>
        <v>1627.4755142036956</v>
      </c>
      <c r="Q117" s="25">
        <f>$B117*'Walgreens National Payments'!O$22</f>
        <v>1627.4755142036956</v>
      </c>
      <c r="R117" s="25">
        <f>$B117*'Walgreens National Payments'!P$22</f>
        <v>1627.4755142036956</v>
      </c>
      <c r="S117" s="25">
        <f>$B117*'Walgreens National Payments'!Q$22</f>
        <v>1627.4755142036956</v>
      </c>
      <c r="T117" s="26" t="s">
        <v>346</v>
      </c>
      <c r="U117" s="26">
        <f t="shared" si="2"/>
        <v>20688.046966212118</v>
      </c>
    </row>
    <row r="118" spans="1:21" x14ac:dyDescent="0.35">
      <c r="A118" s="3" t="s">
        <v>75</v>
      </c>
      <c r="B118" s="16">
        <v>1.2420493545600001E-3</v>
      </c>
      <c r="C118" s="8" t="s">
        <v>148</v>
      </c>
      <c r="D118" s="33" t="str">
        <f t="shared" si="6"/>
        <v>No</v>
      </c>
      <c r="E118" s="25">
        <v>6073.18</v>
      </c>
      <c r="F118" s="25">
        <v>3370.6</v>
      </c>
      <c r="G118" s="25">
        <f>$B118*'Walgreens National Payments'!E$22</f>
        <v>4416.529936038005</v>
      </c>
      <c r="H118" s="25">
        <f>$B118*'Walgreens National Payments'!F$22</f>
        <v>4416.529936038005</v>
      </c>
      <c r="I118" s="25">
        <f>$B118*'Walgreens National Payments'!G$22</f>
        <v>4416.529936038005</v>
      </c>
      <c r="J118" s="25">
        <f>$B118*'Walgreens National Payments'!H$22</f>
        <v>4416.529936038005</v>
      </c>
      <c r="K118" s="25">
        <f>$B118*'Walgreens National Payments'!I$22</f>
        <v>4416.529936038005</v>
      </c>
      <c r="L118" s="25">
        <f>$B118*'Walgreens National Payments'!J$22</f>
        <v>6691.0347122004996</v>
      </c>
      <c r="M118" s="25">
        <f>$B118*'Walgreens National Payments'!K$22</f>
        <v>6691.0347122004996</v>
      </c>
      <c r="N118" s="25">
        <f>$B118*'Walgreens National Payments'!L$22</f>
        <v>6691.0347122004996</v>
      </c>
      <c r="O118" s="25">
        <f>$B118*'Walgreens National Payments'!M$22</f>
        <v>6691.0347122004996</v>
      </c>
      <c r="P118" s="25">
        <f>$B118*'Walgreens National Payments'!N$22</f>
        <v>6691.0347122004996</v>
      </c>
      <c r="Q118" s="25">
        <f>$B118*'Walgreens National Payments'!O$22</f>
        <v>6691.0347122004996</v>
      </c>
      <c r="R118" s="25">
        <f>$B118*'Walgreens National Payments'!P$22</f>
        <v>6691.0347122004996</v>
      </c>
      <c r="S118" s="25">
        <f>$B118*'Walgreens National Payments'!Q$22</f>
        <v>6691.0347122004996</v>
      </c>
      <c r="T118" s="26" t="s">
        <v>346</v>
      </c>
      <c r="U118" s="26">
        <f t="shared" si="2"/>
        <v>85054.707377794024</v>
      </c>
    </row>
    <row r="119" spans="1:21" x14ac:dyDescent="0.35">
      <c r="A119" s="3" t="s">
        <v>60</v>
      </c>
      <c r="B119" s="16">
        <v>2.9166464367653667E-6</v>
      </c>
      <c r="C119" s="8" t="s">
        <v>149</v>
      </c>
      <c r="D119" s="8" t="s">
        <v>337</v>
      </c>
      <c r="E119" s="25">
        <v>0</v>
      </c>
      <c r="F119" s="25">
        <v>0</v>
      </c>
      <c r="G119" s="25">
        <f>$B119*'Walgreens National Payments'!E$22</f>
        <v>10.371130787613602</v>
      </c>
      <c r="H119" s="25">
        <f>$B119*'Walgreens National Payments'!F$22</f>
        <v>10.371130787613602</v>
      </c>
      <c r="I119" s="25">
        <f>$B119*'Walgreens National Payments'!G$22</f>
        <v>10.371130787613602</v>
      </c>
      <c r="J119" s="25">
        <f>$B119*'Walgreens National Payments'!H$22</f>
        <v>10.371130787613602</v>
      </c>
      <c r="K119" s="25">
        <f>$B119*'Walgreens National Payments'!I$22</f>
        <v>10.371130787613602</v>
      </c>
      <c r="L119" s="25">
        <f>$B119*'Walgreens National Payments'!J$22</f>
        <v>15.712244026346564</v>
      </c>
      <c r="M119" s="25">
        <f>$B119*'Walgreens National Payments'!K$22</f>
        <v>15.712244026346564</v>
      </c>
      <c r="N119" s="25">
        <f>$B119*'Walgreens National Payments'!L$22</f>
        <v>15.712244026346564</v>
      </c>
      <c r="O119" s="25">
        <f>$B119*'Walgreens National Payments'!M$22</f>
        <v>15.712244026346564</v>
      </c>
      <c r="P119" s="25">
        <f>$B119*'Walgreens National Payments'!N$22</f>
        <v>15.712244026346564</v>
      </c>
      <c r="Q119" s="25">
        <f>$B119*'Walgreens National Payments'!O$22</f>
        <v>15.712244026346564</v>
      </c>
      <c r="R119" s="25">
        <f>$B119*'Walgreens National Payments'!P$22</f>
        <v>15.712244026346564</v>
      </c>
      <c r="S119" s="25">
        <f>$B119*'Walgreens National Payments'!Q$22</f>
        <v>15.712244026346564</v>
      </c>
      <c r="T119" s="26" t="s">
        <v>346</v>
      </c>
      <c r="U119" s="26">
        <f t="shared" si="2"/>
        <v>177.55360614884049</v>
      </c>
    </row>
    <row r="120" spans="1:21" x14ac:dyDescent="0.35">
      <c r="A120" s="3" t="s">
        <v>34</v>
      </c>
      <c r="B120" s="16">
        <v>4.3999575718258014E-4</v>
      </c>
      <c r="C120" s="8" t="s">
        <v>150</v>
      </c>
      <c r="D120" s="33" t="str">
        <f t="shared" ref="D120:D152" si="7">IF(B120&lt;0.000083,"Yes","No")</f>
        <v>No</v>
      </c>
      <c r="E120" s="25">
        <v>2151.42</v>
      </c>
      <c r="F120" s="25">
        <v>1194.03</v>
      </c>
      <c r="G120" s="25">
        <f>$B120*'Walgreens National Payments'!E$22</f>
        <v>1564.5549238379324</v>
      </c>
      <c r="H120" s="25">
        <f>$B120*'Walgreens National Payments'!F$22</f>
        <v>1564.5549238379324</v>
      </c>
      <c r="I120" s="25">
        <f>$B120*'Walgreens National Payments'!G$22</f>
        <v>1564.5549238379324</v>
      </c>
      <c r="J120" s="25">
        <f>$B120*'Walgreens National Payments'!H$22</f>
        <v>1564.5549238379324</v>
      </c>
      <c r="K120" s="25">
        <f>$B120*'Walgreens National Payments'!I$22</f>
        <v>1564.5549238379324</v>
      </c>
      <c r="L120" s="25">
        <f>$B120*'Walgreens National Payments'!J$22</f>
        <v>2370.2978257031637</v>
      </c>
      <c r="M120" s="25">
        <f>$B120*'Walgreens National Payments'!K$22</f>
        <v>2370.2978257031637</v>
      </c>
      <c r="N120" s="25">
        <f>$B120*'Walgreens National Payments'!L$22</f>
        <v>2370.2978257031637</v>
      </c>
      <c r="O120" s="25">
        <f>$B120*'Walgreens National Payments'!M$22</f>
        <v>2370.2978257031637</v>
      </c>
      <c r="P120" s="25">
        <f>$B120*'Walgreens National Payments'!N$22</f>
        <v>2370.2978257031637</v>
      </c>
      <c r="Q120" s="25">
        <f>$B120*'Walgreens National Payments'!O$22</f>
        <v>2370.2978257031637</v>
      </c>
      <c r="R120" s="25">
        <f>$B120*'Walgreens National Payments'!P$22</f>
        <v>2370.2978257031637</v>
      </c>
      <c r="S120" s="25">
        <f>$B120*'Walgreens National Payments'!Q$22</f>
        <v>2370.2978257031637</v>
      </c>
      <c r="T120" s="26" t="s">
        <v>346</v>
      </c>
      <c r="U120" s="26">
        <f t="shared" si="2"/>
        <v>30130.607224814976</v>
      </c>
    </row>
    <row r="121" spans="1:21" x14ac:dyDescent="0.35">
      <c r="A121" s="3" t="s">
        <v>34</v>
      </c>
      <c r="B121" s="16">
        <v>1.7590962745185068E-4</v>
      </c>
      <c r="C121" s="8" t="s">
        <v>151</v>
      </c>
      <c r="D121" s="33" t="str">
        <f t="shared" si="7"/>
        <v>No</v>
      </c>
      <c r="E121" s="25">
        <v>860.13</v>
      </c>
      <c r="F121" s="25">
        <v>477.37</v>
      </c>
      <c r="G121" s="25">
        <f>$B121*'Walgreens National Payments'!E$22</f>
        <v>625.50665384276465</v>
      </c>
      <c r="H121" s="25">
        <f>$B121*'Walgreens National Payments'!F$22</f>
        <v>625.50665384276465</v>
      </c>
      <c r="I121" s="25">
        <f>$B121*'Walgreens National Payments'!G$22</f>
        <v>625.50665384276465</v>
      </c>
      <c r="J121" s="25">
        <f>$B121*'Walgreens National Payments'!H$22</f>
        <v>625.50665384276465</v>
      </c>
      <c r="K121" s="25">
        <f>$B121*'Walgreens National Payments'!I$22</f>
        <v>625.50665384276465</v>
      </c>
      <c r="L121" s="25">
        <f>$B121*'Walgreens National Payments'!J$22</f>
        <v>947.64142758848163</v>
      </c>
      <c r="M121" s="25">
        <f>$B121*'Walgreens National Payments'!K$22</f>
        <v>947.64142758848163</v>
      </c>
      <c r="N121" s="25">
        <f>$B121*'Walgreens National Payments'!L$22</f>
        <v>947.64142758848163</v>
      </c>
      <c r="O121" s="25">
        <f>$B121*'Walgreens National Payments'!M$22</f>
        <v>947.64142758848163</v>
      </c>
      <c r="P121" s="25">
        <f>$B121*'Walgreens National Payments'!N$22</f>
        <v>947.64142758848163</v>
      </c>
      <c r="Q121" s="25">
        <f>$B121*'Walgreens National Payments'!O$22</f>
        <v>947.64142758848163</v>
      </c>
      <c r="R121" s="25">
        <f>$B121*'Walgreens National Payments'!P$22</f>
        <v>947.64142758848163</v>
      </c>
      <c r="S121" s="25">
        <f>$B121*'Walgreens National Payments'!Q$22</f>
        <v>947.64142758848163</v>
      </c>
      <c r="T121" s="26" t="s">
        <v>346</v>
      </c>
      <c r="U121" s="26">
        <f t="shared" si="2"/>
        <v>12046.164689921676</v>
      </c>
    </row>
    <row r="122" spans="1:21" x14ac:dyDescent="0.35">
      <c r="A122" s="3" t="s">
        <v>22</v>
      </c>
      <c r="B122" s="16">
        <v>2.339422737512214E-4</v>
      </c>
      <c r="C122" s="8" t="s">
        <v>152</v>
      </c>
      <c r="D122" s="33" t="str">
        <f t="shared" si="7"/>
        <v>No</v>
      </c>
      <c r="E122" s="25">
        <v>1143.8900000000001</v>
      </c>
      <c r="F122" s="25">
        <v>634.86</v>
      </c>
      <c r="G122" s="25">
        <f>$B122*'Walgreens National Payments'!E$22</f>
        <v>831.86151301780296</v>
      </c>
      <c r="H122" s="25">
        <f>$B122*'Walgreens National Payments'!F$22</f>
        <v>831.86151301780296</v>
      </c>
      <c r="I122" s="25">
        <f>$B122*'Walgreens National Payments'!G$22</f>
        <v>831.86151301780296</v>
      </c>
      <c r="J122" s="25">
        <f>$B122*'Walgreens National Payments'!H$22</f>
        <v>831.86151301780296</v>
      </c>
      <c r="K122" s="25">
        <f>$B122*'Walgreens National Payments'!I$22</f>
        <v>831.86151301780296</v>
      </c>
      <c r="L122" s="25">
        <f>$B122*'Walgreens National Payments'!J$22</f>
        <v>1260.2686588690772</v>
      </c>
      <c r="M122" s="25">
        <f>$B122*'Walgreens National Payments'!K$22</f>
        <v>1260.2686588690772</v>
      </c>
      <c r="N122" s="25">
        <f>$B122*'Walgreens National Payments'!L$22</f>
        <v>1260.2686588690772</v>
      </c>
      <c r="O122" s="25">
        <f>$B122*'Walgreens National Payments'!M$22</f>
        <v>1260.2686588690772</v>
      </c>
      <c r="P122" s="25">
        <f>$B122*'Walgreens National Payments'!N$22</f>
        <v>1260.2686588690772</v>
      </c>
      <c r="Q122" s="25">
        <f>$B122*'Walgreens National Payments'!O$22</f>
        <v>1260.2686588690772</v>
      </c>
      <c r="R122" s="25">
        <f>$B122*'Walgreens National Payments'!P$22</f>
        <v>1260.2686588690772</v>
      </c>
      <c r="S122" s="25">
        <f>$B122*'Walgreens National Payments'!Q$22</f>
        <v>1260.2686588690772</v>
      </c>
      <c r="T122" s="26" t="s">
        <v>346</v>
      </c>
      <c r="U122" s="26">
        <f t="shared" si="2"/>
        <v>16020.206836041636</v>
      </c>
    </row>
    <row r="123" spans="1:21" x14ac:dyDescent="0.35">
      <c r="A123" s="3" t="s">
        <v>153</v>
      </c>
      <c r="B123" s="16">
        <v>4.1796783504000007E-3</v>
      </c>
      <c r="C123" s="8" t="s">
        <v>153</v>
      </c>
      <c r="D123" s="33" t="str">
        <f t="shared" si="7"/>
        <v>No</v>
      </c>
      <c r="E123" s="25">
        <v>20437.13</v>
      </c>
      <c r="F123" s="25">
        <v>11342.55</v>
      </c>
      <c r="G123" s="25">
        <f>$B123*'Walgreens National Payments'!E$22</f>
        <v>14862.271366093135</v>
      </c>
      <c r="H123" s="25">
        <f>$B123*'Walgreens National Payments'!F$22</f>
        <v>14862.271366093135</v>
      </c>
      <c r="I123" s="25">
        <f>$B123*'Walgreens National Payments'!G$22</f>
        <v>14862.271366093135</v>
      </c>
      <c r="J123" s="25">
        <f>$B123*'Walgreens National Payments'!H$22</f>
        <v>14862.271366093135</v>
      </c>
      <c r="K123" s="25">
        <f>$B123*'Walgreens National Payments'!I$22</f>
        <v>14862.271366093135</v>
      </c>
      <c r="L123" s="25">
        <f>$B123*'Walgreens National Payments'!J$22</f>
        <v>22516.313724317744</v>
      </c>
      <c r="M123" s="25">
        <f>$B123*'Walgreens National Payments'!K$22</f>
        <v>22516.313724317744</v>
      </c>
      <c r="N123" s="25">
        <f>$B123*'Walgreens National Payments'!L$22</f>
        <v>22516.313724317744</v>
      </c>
      <c r="O123" s="25">
        <f>$B123*'Walgreens National Payments'!M$22</f>
        <v>22516.313724317744</v>
      </c>
      <c r="P123" s="25">
        <f>$B123*'Walgreens National Payments'!N$22</f>
        <v>22516.313724317744</v>
      </c>
      <c r="Q123" s="25">
        <f>$B123*'Walgreens National Payments'!O$22</f>
        <v>22516.313724317744</v>
      </c>
      <c r="R123" s="25">
        <f>$B123*'Walgreens National Payments'!P$22</f>
        <v>22516.313724317744</v>
      </c>
      <c r="S123" s="25">
        <f>$B123*'Walgreens National Payments'!Q$22</f>
        <v>22516.313724317744</v>
      </c>
      <c r="T123" s="26" t="s">
        <v>346</v>
      </c>
      <c r="U123" s="26">
        <f t="shared" si="2"/>
        <v>286221.54662500758</v>
      </c>
    </row>
    <row r="124" spans="1:21" x14ac:dyDescent="0.35">
      <c r="A124" s="3" t="s">
        <v>24</v>
      </c>
      <c r="B124" s="16">
        <v>1.7432722105140133E-4</v>
      </c>
      <c r="C124" s="8" t="s">
        <v>154</v>
      </c>
      <c r="D124" s="33" t="str">
        <f t="shared" si="7"/>
        <v>No</v>
      </c>
      <c r="E124" s="25">
        <v>852.4</v>
      </c>
      <c r="F124" s="25">
        <v>473.08</v>
      </c>
      <c r="G124" s="25">
        <f>$B124*'Walgreens National Payments'!E$22</f>
        <v>619.87986839103962</v>
      </c>
      <c r="H124" s="25">
        <f>$B124*'Walgreens National Payments'!F$22</f>
        <v>619.87986839103962</v>
      </c>
      <c r="I124" s="25">
        <f>$B124*'Walgreens National Payments'!G$22</f>
        <v>619.87986839103962</v>
      </c>
      <c r="J124" s="25">
        <f>$B124*'Walgreens National Payments'!H$22</f>
        <v>619.87986839103962</v>
      </c>
      <c r="K124" s="25">
        <f>$B124*'Walgreens National Payments'!I$22</f>
        <v>619.87986839103962</v>
      </c>
      <c r="L124" s="25">
        <f>$B124*'Walgreens National Payments'!J$22</f>
        <v>939.11685800085399</v>
      </c>
      <c r="M124" s="25">
        <f>$B124*'Walgreens National Payments'!K$22</f>
        <v>939.11685800085399</v>
      </c>
      <c r="N124" s="25">
        <f>$B124*'Walgreens National Payments'!L$22</f>
        <v>939.11685800085399</v>
      </c>
      <c r="O124" s="25">
        <f>$B124*'Walgreens National Payments'!M$22</f>
        <v>939.11685800085399</v>
      </c>
      <c r="P124" s="25">
        <f>$B124*'Walgreens National Payments'!N$22</f>
        <v>939.11685800085399</v>
      </c>
      <c r="Q124" s="25">
        <f>$B124*'Walgreens National Payments'!O$22</f>
        <v>939.11685800085399</v>
      </c>
      <c r="R124" s="25">
        <f>$B124*'Walgreens National Payments'!P$22</f>
        <v>939.11685800085399</v>
      </c>
      <c r="S124" s="25">
        <f>$B124*'Walgreens National Payments'!Q$22</f>
        <v>939.11685800085399</v>
      </c>
      <c r="T124" s="26" t="s">
        <v>346</v>
      </c>
      <c r="U124" s="26">
        <f t="shared" si="2"/>
        <v>11937.814205962031</v>
      </c>
    </row>
    <row r="125" spans="1:21" x14ac:dyDescent="0.35">
      <c r="A125" s="3" t="s">
        <v>155</v>
      </c>
      <c r="B125" s="16">
        <v>9.8946865237466131E-4</v>
      </c>
      <c r="C125" s="8" t="s">
        <v>156</v>
      </c>
      <c r="D125" s="33" t="str">
        <f t="shared" si="7"/>
        <v>No</v>
      </c>
      <c r="E125" s="25">
        <v>4838.1499999999996</v>
      </c>
      <c r="F125" s="25">
        <v>2685.16</v>
      </c>
      <c r="G125" s="25">
        <f>$B125*'Walgreens National Payments'!E$22</f>
        <v>3518.3931362630647</v>
      </c>
      <c r="H125" s="25">
        <f>$B125*'Walgreens National Payments'!F$22</f>
        <v>3518.3931362630647</v>
      </c>
      <c r="I125" s="25">
        <f>$B125*'Walgreens National Payments'!G$22</f>
        <v>3518.3931362630647</v>
      </c>
      <c r="J125" s="25">
        <f>$B125*'Walgreens National Payments'!H$22</f>
        <v>3518.3931362630647</v>
      </c>
      <c r="K125" s="25">
        <f>$B125*'Walgreens National Payments'!I$22</f>
        <v>3518.3931362630647</v>
      </c>
      <c r="L125" s="25">
        <f>$B125*'Walgreens National Payments'!J$22</f>
        <v>5330.3591160582064</v>
      </c>
      <c r="M125" s="25">
        <f>$B125*'Walgreens National Payments'!K$22</f>
        <v>5330.3591160582064</v>
      </c>
      <c r="N125" s="25">
        <f>$B125*'Walgreens National Payments'!L$22</f>
        <v>5330.3591160582064</v>
      </c>
      <c r="O125" s="25">
        <f>$B125*'Walgreens National Payments'!M$22</f>
        <v>5330.3591160582064</v>
      </c>
      <c r="P125" s="25">
        <f>$B125*'Walgreens National Payments'!N$22</f>
        <v>5330.3591160582064</v>
      </c>
      <c r="Q125" s="25">
        <f>$B125*'Walgreens National Payments'!O$22</f>
        <v>5330.3591160582064</v>
      </c>
      <c r="R125" s="25">
        <f>$B125*'Walgreens National Payments'!P$22</f>
        <v>5330.3591160582064</v>
      </c>
      <c r="S125" s="25">
        <f>$B125*'Walgreens National Payments'!Q$22</f>
        <v>5330.3591160582064</v>
      </c>
      <c r="T125" s="26" t="s">
        <v>346</v>
      </c>
      <c r="U125" s="26">
        <f t="shared" si="2"/>
        <v>67758.148609780983</v>
      </c>
    </row>
    <row r="126" spans="1:21" x14ac:dyDescent="0.35">
      <c r="A126" s="3" t="s">
        <v>34</v>
      </c>
      <c r="B126" s="16">
        <v>2.4496551937617135E-5</v>
      </c>
      <c r="C126" s="8" t="s">
        <v>157</v>
      </c>
      <c r="D126" s="33" t="str">
        <f t="shared" si="7"/>
        <v>Yes</v>
      </c>
      <c r="E126" s="25">
        <v>1773.06</v>
      </c>
      <c r="F126" s="48">
        <v>0</v>
      </c>
      <c r="G126" s="100">
        <f>$B126*'Walgreens National Payments'!E$22</f>
        <v>87.105842102806321</v>
      </c>
      <c r="H126" s="100">
        <f>$B126*'Walgreens National Payments'!F$22</f>
        <v>87.105842102806321</v>
      </c>
      <c r="I126" s="100">
        <f>$B126*'Walgreens National Payments'!G$22</f>
        <v>87.105842102806321</v>
      </c>
      <c r="J126" s="100">
        <f>$B126*'Walgreens National Payments'!H$22</f>
        <v>87.105842102806321</v>
      </c>
      <c r="K126" s="100">
        <f>$B126*'Walgreens National Payments'!I$22</f>
        <v>87.105842102806321</v>
      </c>
      <c r="L126" s="100">
        <f>$B126*'Walgreens National Payments'!J$22</f>
        <v>131.96519022537822</v>
      </c>
      <c r="M126" s="100">
        <f>$B126*'Walgreens National Payments'!K$22</f>
        <v>131.96519022537822</v>
      </c>
      <c r="N126" s="100">
        <f>$B126*'Walgreens National Payments'!L$22</f>
        <v>131.96519022537822</v>
      </c>
      <c r="O126" s="100">
        <f>$B126*'Walgreens National Payments'!M$22</f>
        <v>131.96519022537822</v>
      </c>
      <c r="P126" s="100">
        <f>$B126*'Walgreens National Payments'!N$22</f>
        <v>131.96519022537822</v>
      </c>
      <c r="Q126" s="100">
        <f>$B126*'Walgreens National Payments'!O$22</f>
        <v>131.96519022537822</v>
      </c>
      <c r="R126" s="100">
        <f>$B126*'Walgreens National Payments'!P$22</f>
        <v>131.96519022537822</v>
      </c>
      <c r="S126" s="100">
        <f>$B126*'Walgreens National Payments'!Q$22</f>
        <v>131.96519022537822</v>
      </c>
      <c r="T126" s="26" t="s">
        <v>346</v>
      </c>
      <c r="U126" s="26">
        <f t="shared" si="2"/>
        <v>3264.3107323170566</v>
      </c>
    </row>
    <row r="127" spans="1:21" x14ac:dyDescent="0.35">
      <c r="A127" s="3" t="s">
        <v>158</v>
      </c>
      <c r="B127" s="16">
        <v>2.4927201566399999E-3</v>
      </c>
      <c r="C127" s="8" t="s">
        <v>158</v>
      </c>
      <c r="D127" s="33" t="str">
        <f t="shared" si="7"/>
        <v>No</v>
      </c>
      <c r="E127" s="25">
        <v>12188.51</v>
      </c>
      <c r="F127" s="25">
        <v>6764.59</v>
      </c>
      <c r="G127" s="25">
        <f>$B127*'Walgreens National Payments'!E$22</f>
        <v>8863.7163680713311</v>
      </c>
      <c r="H127" s="25">
        <f>$B127*'Walgreens National Payments'!F$22</f>
        <v>8863.7163680713311</v>
      </c>
      <c r="I127" s="25">
        <f>$B127*'Walgreens National Payments'!G$22</f>
        <v>8863.7163680713311</v>
      </c>
      <c r="J127" s="25">
        <f>$B127*'Walgreens National Payments'!H$22</f>
        <v>8863.7163680713311</v>
      </c>
      <c r="K127" s="25">
        <f>$B127*'Walgreens National Payments'!I$22</f>
        <v>8863.7163680713311</v>
      </c>
      <c r="L127" s="25">
        <f>$B127*'Walgreens National Payments'!J$22</f>
        <v>13428.513959325433</v>
      </c>
      <c r="M127" s="25">
        <f>$B127*'Walgreens National Payments'!K$22</f>
        <v>13428.513959325433</v>
      </c>
      <c r="N127" s="25">
        <f>$B127*'Walgreens National Payments'!L$22</f>
        <v>13428.513959325433</v>
      </c>
      <c r="O127" s="25">
        <f>$B127*'Walgreens National Payments'!M$22</f>
        <v>13428.513959325433</v>
      </c>
      <c r="P127" s="25">
        <f>$B127*'Walgreens National Payments'!N$22</f>
        <v>13428.513959325433</v>
      </c>
      <c r="Q127" s="25">
        <f>$B127*'Walgreens National Payments'!O$22</f>
        <v>13428.513959325433</v>
      </c>
      <c r="R127" s="25">
        <f>$B127*'Walgreens National Payments'!P$22</f>
        <v>13428.513959325433</v>
      </c>
      <c r="S127" s="25">
        <f>$B127*'Walgreens National Payments'!Q$22</f>
        <v>13428.513959325433</v>
      </c>
      <c r="T127" s="26" t="s">
        <v>346</v>
      </c>
      <c r="U127" s="26">
        <f t="shared" si="2"/>
        <v>170699.7935149601</v>
      </c>
    </row>
    <row r="128" spans="1:21" x14ac:dyDescent="0.35">
      <c r="A128" s="3" t="s">
        <v>22</v>
      </c>
      <c r="B128" s="16">
        <v>4.0472692288000007E-4</v>
      </c>
      <c r="C128" s="8" t="s">
        <v>159</v>
      </c>
      <c r="D128" s="33" t="str">
        <f t="shared" si="7"/>
        <v>No</v>
      </c>
      <c r="E128" s="25">
        <v>1978.97</v>
      </c>
      <c r="F128" s="25">
        <v>1098.32</v>
      </c>
      <c r="G128" s="25">
        <f>$B128*'Walgreens National Payments'!E$22</f>
        <v>1439.144559157465</v>
      </c>
      <c r="H128" s="25">
        <f>$B128*'Walgreens National Payments'!F$22</f>
        <v>1439.144559157465</v>
      </c>
      <c r="I128" s="25">
        <f>$B128*'Walgreens National Payments'!G$22</f>
        <v>1439.144559157465</v>
      </c>
      <c r="J128" s="25">
        <f>$B128*'Walgreens National Payments'!H$22</f>
        <v>1439.144559157465</v>
      </c>
      <c r="K128" s="25">
        <f>$B128*'Walgreens National Payments'!I$22</f>
        <v>1439.144559157465</v>
      </c>
      <c r="L128" s="25">
        <f>$B128*'Walgreens National Payments'!J$22</f>
        <v>2180.3013543785523</v>
      </c>
      <c r="M128" s="25">
        <f>$B128*'Walgreens National Payments'!K$22</f>
        <v>2180.3013543785523</v>
      </c>
      <c r="N128" s="25">
        <f>$B128*'Walgreens National Payments'!L$22</f>
        <v>2180.3013543785523</v>
      </c>
      <c r="O128" s="25">
        <f>$B128*'Walgreens National Payments'!M$22</f>
        <v>2180.3013543785523</v>
      </c>
      <c r="P128" s="25">
        <f>$B128*'Walgreens National Payments'!N$22</f>
        <v>2180.3013543785523</v>
      </c>
      <c r="Q128" s="25">
        <f>$B128*'Walgreens National Payments'!O$22</f>
        <v>2180.3013543785523</v>
      </c>
      <c r="R128" s="25">
        <f>$B128*'Walgreens National Payments'!P$22</f>
        <v>2180.3013543785523</v>
      </c>
      <c r="S128" s="25">
        <f>$B128*'Walgreens National Payments'!Q$22</f>
        <v>2180.3013543785523</v>
      </c>
      <c r="T128" s="26" t="s">
        <v>346</v>
      </c>
      <c r="U128" s="26">
        <f t="shared" si="2"/>
        <v>27715.423630815745</v>
      </c>
    </row>
    <row r="129" spans="1:21" x14ac:dyDescent="0.35">
      <c r="A129" s="3" t="s">
        <v>160</v>
      </c>
      <c r="B129" s="16">
        <v>1.7506615174257315E-3</v>
      </c>
      <c r="C129" s="8" t="s">
        <v>160</v>
      </c>
      <c r="D129" s="33" t="str">
        <f t="shared" si="7"/>
        <v>No</v>
      </c>
      <c r="E129" s="25">
        <v>8560.11</v>
      </c>
      <c r="F129" s="25">
        <v>4750.84</v>
      </c>
      <c r="G129" s="25">
        <f>$B129*'Walgreens National Payments'!E$22</f>
        <v>6225.0738838952939</v>
      </c>
      <c r="H129" s="25">
        <f>$B129*'Walgreens National Payments'!F$22</f>
        <v>6225.0738838952939</v>
      </c>
      <c r="I129" s="25">
        <f>$B129*'Walgreens National Payments'!G$22</f>
        <v>6225.0738838952939</v>
      </c>
      <c r="J129" s="25">
        <f>$B129*'Walgreens National Payments'!H$22</f>
        <v>6225.0738838952939</v>
      </c>
      <c r="K129" s="25">
        <f>$B129*'Walgreens National Payments'!I$22</f>
        <v>6225.0738838952939</v>
      </c>
      <c r="L129" s="25">
        <f>$B129*'Walgreens National Payments'!J$22</f>
        <v>9430.9754595531322</v>
      </c>
      <c r="M129" s="25">
        <f>$B129*'Walgreens National Payments'!K$22</f>
        <v>9430.9754595531322</v>
      </c>
      <c r="N129" s="25">
        <f>$B129*'Walgreens National Payments'!L$22</f>
        <v>9430.9754595531322</v>
      </c>
      <c r="O129" s="25">
        <f>$B129*'Walgreens National Payments'!M$22</f>
        <v>9430.9754595531322</v>
      </c>
      <c r="P129" s="25">
        <f>$B129*'Walgreens National Payments'!N$22</f>
        <v>9430.9754595531322</v>
      </c>
      <c r="Q129" s="25">
        <f>$B129*'Walgreens National Payments'!O$22</f>
        <v>9430.9754595531322</v>
      </c>
      <c r="R129" s="25">
        <f>$B129*'Walgreens National Payments'!P$22</f>
        <v>9430.9754595531322</v>
      </c>
      <c r="S129" s="25">
        <f>$B129*'Walgreens National Payments'!Q$22</f>
        <v>9430.9754595531322</v>
      </c>
      <c r="T129" s="26" t="s">
        <v>346</v>
      </c>
      <c r="U129" s="26">
        <f t="shared" si="2"/>
        <v>119884.12309590151</v>
      </c>
    </row>
    <row r="130" spans="1:21" x14ac:dyDescent="0.35">
      <c r="A130" s="3" t="s">
        <v>34</v>
      </c>
      <c r="B130" s="16">
        <v>4.9320093758848142E-4</v>
      </c>
      <c r="C130" s="8" t="s">
        <v>161</v>
      </c>
      <c r="D130" s="33" t="str">
        <f t="shared" si="7"/>
        <v>No</v>
      </c>
      <c r="E130" s="25">
        <v>2411.58</v>
      </c>
      <c r="F130" s="25">
        <v>1338.42</v>
      </c>
      <c r="G130" s="25">
        <f>$B130*'Walgreens National Payments'!E$22</f>
        <v>1753.7440821851937</v>
      </c>
      <c r="H130" s="25">
        <f>$B130*'Walgreens National Payments'!F$22</f>
        <v>1753.7440821851937</v>
      </c>
      <c r="I130" s="25">
        <f>$B130*'Walgreens National Payments'!G$22</f>
        <v>1753.7440821851937</v>
      </c>
      <c r="J130" s="25">
        <f>$B130*'Walgreens National Payments'!H$22</f>
        <v>1753.7440821851937</v>
      </c>
      <c r="K130" s="25">
        <f>$B130*'Walgreens National Payments'!I$22</f>
        <v>1753.7440821851937</v>
      </c>
      <c r="L130" s="25">
        <f>$B130*'Walgreens National Payments'!J$22</f>
        <v>2656.9190518708538</v>
      </c>
      <c r="M130" s="25">
        <f>$B130*'Walgreens National Payments'!K$22</f>
        <v>2656.9190518708538</v>
      </c>
      <c r="N130" s="25">
        <f>$B130*'Walgreens National Payments'!L$22</f>
        <v>2656.9190518708538</v>
      </c>
      <c r="O130" s="25">
        <f>$B130*'Walgreens National Payments'!M$22</f>
        <v>2656.9190518708538</v>
      </c>
      <c r="P130" s="25">
        <f>$B130*'Walgreens National Payments'!N$22</f>
        <v>2656.9190518708538</v>
      </c>
      <c r="Q130" s="25">
        <f>$B130*'Walgreens National Payments'!O$22</f>
        <v>2656.9190518708538</v>
      </c>
      <c r="R130" s="25">
        <f>$B130*'Walgreens National Payments'!P$22</f>
        <v>2656.9190518708538</v>
      </c>
      <c r="S130" s="25">
        <f>$B130*'Walgreens National Payments'!Q$22</f>
        <v>2656.9190518708538</v>
      </c>
      <c r="T130" s="26" t="s">
        <v>346</v>
      </c>
      <c r="U130" s="26">
        <f t="shared" si="2"/>
        <v>33774.072825892799</v>
      </c>
    </row>
    <row r="131" spans="1:21" x14ac:dyDescent="0.35">
      <c r="A131" s="3" t="s">
        <v>90</v>
      </c>
      <c r="B131" s="16">
        <v>2.3910807429600001E-2</v>
      </c>
      <c r="C131" s="8" t="s">
        <v>90</v>
      </c>
      <c r="D131" s="33" t="str">
        <f t="shared" si="7"/>
        <v>No</v>
      </c>
      <c r="E131" s="25">
        <v>116915.26</v>
      </c>
      <c r="F131" s="25">
        <v>64887.65</v>
      </c>
      <c r="G131" s="25">
        <f>$B131*'Walgreens National Payments'!E$22</f>
        <v>85023.027804783545</v>
      </c>
      <c r="H131" s="25">
        <f>$B131*'Walgreens National Payments'!F$22</f>
        <v>85023.027804783545</v>
      </c>
      <c r="I131" s="25">
        <f>$B131*'Walgreens National Payments'!G$22</f>
        <v>85023.027804783545</v>
      </c>
      <c r="J131" s="25">
        <f>$B131*'Walgreens National Payments'!H$22</f>
        <v>85023.027804783545</v>
      </c>
      <c r="K131" s="25">
        <f>$B131*'Walgreens National Payments'!I$22</f>
        <v>85023.027804783545</v>
      </c>
      <c r="L131" s="25">
        <f>$B131*'Walgreens National Payments'!J$22</f>
        <v>128809.73040308166</v>
      </c>
      <c r="M131" s="25">
        <f>$B131*'Walgreens National Payments'!K$22</f>
        <v>128809.73040308166</v>
      </c>
      <c r="N131" s="25">
        <f>$B131*'Walgreens National Payments'!L$22</f>
        <v>128809.73040308166</v>
      </c>
      <c r="O131" s="25">
        <f>$B131*'Walgreens National Payments'!M$22</f>
        <v>128809.73040308166</v>
      </c>
      <c r="P131" s="25">
        <f>$B131*'Walgreens National Payments'!N$22</f>
        <v>128809.73040308166</v>
      </c>
      <c r="Q131" s="25">
        <f>$B131*'Walgreens National Payments'!O$22</f>
        <v>128809.73040308166</v>
      </c>
      <c r="R131" s="25">
        <f>$B131*'Walgreens National Payments'!P$22</f>
        <v>128809.73040308166</v>
      </c>
      <c r="S131" s="25">
        <f>$B131*'Walgreens National Payments'!Q$22</f>
        <v>128809.73040308166</v>
      </c>
      <c r="T131" s="26" t="s">
        <v>346</v>
      </c>
      <c r="U131" s="26">
        <f t="shared" si="2"/>
        <v>1637395.8922485714</v>
      </c>
    </row>
    <row r="132" spans="1:21" x14ac:dyDescent="0.35">
      <c r="A132" s="3" t="s">
        <v>22</v>
      </c>
      <c r="B132" s="16">
        <v>9.9756728509450506E-4</v>
      </c>
      <c r="C132" s="8" t="s">
        <v>162</v>
      </c>
      <c r="D132" s="33" t="str">
        <f t="shared" si="7"/>
        <v>No</v>
      </c>
      <c r="E132" s="25">
        <v>4877.75</v>
      </c>
      <c r="F132" s="25">
        <v>2707.14</v>
      </c>
      <c r="G132" s="25">
        <f>$B132*'Walgreens National Payments'!E$22</f>
        <v>3547.1905859914914</v>
      </c>
      <c r="H132" s="25">
        <f>$B132*'Walgreens National Payments'!F$22</f>
        <v>3547.1905859914914</v>
      </c>
      <c r="I132" s="25">
        <f>$B132*'Walgreens National Payments'!G$22</f>
        <v>3547.1905859914914</v>
      </c>
      <c r="J132" s="25">
        <f>$B132*'Walgreens National Payments'!H$22</f>
        <v>3547.1905859914914</v>
      </c>
      <c r="K132" s="25">
        <f>$B132*'Walgreens National Payments'!I$22</f>
        <v>3547.1905859914914</v>
      </c>
      <c r="L132" s="25">
        <f>$B132*'Walgreens National Payments'!J$22</f>
        <v>5373.9871993150373</v>
      </c>
      <c r="M132" s="25">
        <f>$B132*'Walgreens National Payments'!K$22</f>
        <v>5373.9871993150373</v>
      </c>
      <c r="N132" s="25">
        <f>$B132*'Walgreens National Payments'!L$22</f>
        <v>5373.9871993150373</v>
      </c>
      <c r="O132" s="25">
        <f>$B132*'Walgreens National Payments'!M$22</f>
        <v>5373.9871993150373</v>
      </c>
      <c r="P132" s="25">
        <f>$B132*'Walgreens National Payments'!N$22</f>
        <v>5373.9871993150373</v>
      </c>
      <c r="Q132" s="25">
        <f>$B132*'Walgreens National Payments'!O$22</f>
        <v>5373.9871993150373</v>
      </c>
      <c r="R132" s="25">
        <f>$B132*'Walgreens National Payments'!P$22</f>
        <v>5373.9871993150373</v>
      </c>
      <c r="S132" s="25">
        <f>$B132*'Walgreens National Payments'!Q$22</f>
        <v>5373.9871993150373</v>
      </c>
      <c r="T132" s="26" t="s">
        <v>346</v>
      </c>
      <c r="U132" s="26">
        <f t="shared" ref="U132:U195" si="8">SUM(E132:S132)</f>
        <v>68312.740524477762</v>
      </c>
    </row>
    <row r="133" spans="1:21" x14ac:dyDescent="0.35">
      <c r="A133" s="3" t="s">
        <v>163</v>
      </c>
      <c r="B133" s="16">
        <v>2.684628549727351E-4</v>
      </c>
      <c r="C133" s="8" t="s">
        <v>164</v>
      </c>
      <c r="D133" s="33" t="str">
        <f t="shared" si="7"/>
        <v>No</v>
      </c>
      <c r="E133" s="25">
        <v>1312.69</v>
      </c>
      <c r="F133" s="25">
        <v>728.54</v>
      </c>
      <c r="G133" s="25">
        <f>$B133*'Walgreens National Payments'!E$22</f>
        <v>954.61120876419818</v>
      </c>
      <c r="H133" s="25">
        <f>$B133*'Walgreens National Payments'!F$22</f>
        <v>954.61120876419818</v>
      </c>
      <c r="I133" s="25">
        <f>$B133*'Walgreens National Payments'!G$22</f>
        <v>954.61120876419818</v>
      </c>
      <c r="J133" s="25">
        <f>$B133*'Walgreens National Payments'!H$22</f>
        <v>954.61120876419818</v>
      </c>
      <c r="K133" s="25">
        <f>$B133*'Walgreens National Payments'!I$22</f>
        <v>954.61120876419818</v>
      </c>
      <c r="L133" s="25">
        <f>$B133*'Walgreens National Payments'!J$22</f>
        <v>1446.234221662924</v>
      </c>
      <c r="M133" s="25">
        <f>$B133*'Walgreens National Payments'!K$22</f>
        <v>1446.234221662924</v>
      </c>
      <c r="N133" s="25">
        <f>$B133*'Walgreens National Payments'!L$22</f>
        <v>1446.234221662924</v>
      </c>
      <c r="O133" s="25">
        <f>$B133*'Walgreens National Payments'!M$22</f>
        <v>1446.234221662924</v>
      </c>
      <c r="P133" s="25">
        <f>$B133*'Walgreens National Payments'!N$22</f>
        <v>1446.234221662924</v>
      </c>
      <c r="Q133" s="25">
        <f>$B133*'Walgreens National Payments'!O$22</f>
        <v>1446.234221662924</v>
      </c>
      <c r="R133" s="25">
        <f>$B133*'Walgreens National Payments'!P$22</f>
        <v>1446.234221662924</v>
      </c>
      <c r="S133" s="25">
        <f>$B133*'Walgreens National Payments'!Q$22</f>
        <v>1446.234221662924</v>
      </c>
      <c r="T133" s="26" t="s">
        <v>346</v>
      </c>
      <c r="U133" s="26">
        <f t="shared" si="8"/>
        <v>18384.159817124382</v>
      </c>
    </row>
    <row r="134" spans="1:21" x14ac:dyDescent="0.35">
      <c r="A134" s="3" t="s">
        <v>163</v>
      </c>
      <c r="B134" s="16">
        <v>5.4943125126400002E-3</v>
      </c>
      <c r="C134" s="8" t="s">
        <v>163</v>
      </c>
      <c r="D134" s="33" t="str">
        <f t="shared" si="7"/>
        <v>No</v>
      </c>
      <c r="E134" s="25">
        <v>26865.22</v>
      </c>
      <c r="F134" s="25">
        <v>14910.12</v>
      </c>
      <c r="G134" s="25">
        <f>$B134*'Walgreens National Payments'!E$22</f>
        <v>19536.901332410405</v>
      </c>
      <c r="H134" s="25">
        <f>$B134*'Walgreens National Payments'!F$22</f>
        <v>19536.901332410405</v>
      </c>
      <c r="I134" s="25">
        <f>$B134*'Walgreens National Payments'!G$22</f>
        <v>19536.901332410405</v>
      </c>
      <c r="J134" s="25">
        <f>$B134*'Walgreens National Payments'!H$22</f>
        <v>19536.901332410405</v>
      </c>
      <c r="K134" s="25">
        <f>$B134*'Walgreens National Payments'!I$22</f>
        <v>19536.901332410405</v>
      </c>
      <c r="L134" s="25">
        <f>$B134*'Walgreens National Payments'!J$22</f>
        <v>29598.369506640956</v>
      </c>
      <c r="M134" s="25">
        <f>$B134*'Walgreens National Payments'!K$22</f>
        <v>29598.369506640956</v>
      </c>
      <c r="N134" s="25">
        <f>$B134*'Walgreens National Payments'!L$22</f>
        <v>29598.369506640956</v>
      </c>
      <c r="O134" s="25">
        <f>$B134*'Walgreens National Payments'!M$22</f>
        <v>29598.369506640956</v>
      </c>
      <c r="P134" s="25">
        <f>$B134*'Walgreens National Payments'!N$22</f>
        <v>29598.369506640956</v>
      </c>
      <c r="Q134" s="25">
        <f>$B134*'Walgreens National Payments'!O$22</f>
        <v>29598.369506640956</v>
      </c>
      <c r="R134" s="25">
        <f>$B134*'Walgreens National Payments'!P$22</f>
        <v>29598.369506640956</v>
      </c>
      <c r="S134" s="25">
        <f>$B134*'Walgreens National Payments'!Q$22</f>
        <v>29598.369506640956</v>
      </c>
      <c r="T134" s="26" t="s">
        <v>346</v>
      </c>
      <c r="U134" s="26">
        <f t="shared" si="8"/>
        <v>376246.80271517957</v>
      </c>
    </row>
    <row r="135" spans="1:21" x14ac:dyDescent="0.35">
      <c r="A135" s="3" t="s">
        <v>165</v>
      </c>
      <c r="B135" s="16">
        <v>3.5979730057600005E-3</v>
      </c>
      <c r="C135" s="8" t="s">
        <v>165</v>
      </c>
      <c r="D135" s="33" t="str">
        <f t="shared" si="7"/>
        <v>No</v>
      </c>
      <c r="E135" s="25">
        <v>17592.8</v>
      </c>
      <c r="F135" s="25">
        <v>9763.9500000000007</v>
      </c>
      <c r="G135" s="25">
        <f>$B135*'Walgreens National Payments'!E$22</f>
        <v>12793.819690542781</v>
      </c>
      <c r="H135" s="25">
        <f>$B135*'Walgreens National Payments'!F$22</f>
        <v>12793.819690542781</v>
      </c>
      <c r="I135" s="25">
        <f>$B135*'Walgreens National Payments'!G$22</f>
        <v>12793.819690542781</v>
      </c>
      <c r="J135" s="25">
        <f>$B135*'Walgreens National Payments'!H$22</f>
        <v>12793.819690542781</v>
      </c>
      <c r="K135" s="25">
        <f>$B135*'Walgreens National Payments'!I$22</f>
        <v>12793.819690542781</v>
      </c>
      <c r="L135" s="25">
        <f>$B135*'Walgreens National Payments'!J$22</f>
        <v>19382.613248592588</v>
      </c>
      <c r="M135" s="25">
        <f>$B135*'Walgreens National Payments'!K$22</f>
        <v>19382.613248592588</v>
      </c>
      <c r="N135" s="25">
        <f>$B135*'Walgreens National Payments'!L$22</f>
        <v>19382.613248592588</v>
      </c>
      <c r="O135" s="25">
        <f>$B135*'Walgreens National Payments'!M$22</f>
        <v>19382.613248592588</v>
      </c>
      <c r="P135" s="25">
        <f>$B135*'Walgreens National Payments'!N$22</f>
        <v>19382.613248592588</v>
      </c>
      <c r="Q135" s="25">
        <f>$B135*'Walgreens National Payments'!O$22</f>
        <v>19382.613248592588</v>
      </c>
      <c r="R135" s="25">
        <f>$B135*'Walgreens National Payments'!P$22</f>
        <v>19382.613248592588</v>
      </c>
      <c r="S135" s="25">
        <f>$B135*'Walgreens National Payments'!Q$22</f>
        <v>19382.613248592588</v>
      </c>
      <c r="T135" s="26" t="s">
        <v>346</v>
      </c>
      <c r="U135" s="26">
        <f t="shared" si="8"/>
        <v>246386.75444145463</v>
      </c>
    </row>
    <row r="136" spans="1:21" x14ac:dyDescent="0.35">
      <c r="A136" s="3" t="s">
        <v>166</v>
      </c>
      <c r="B136" s="16">
        <v>1.23477897536E-3</v>
      </c>
      <c r="C136" s="8" t="s">
        <v>166</v>
      </c>
      <c r="D136" s="33" t="str">
        <f t="shared" si="7"/>
        <v>No</v>
      </c>
      <c r="E136" s="25">
        <v>6037.63</v>
      </c>
      <c r="F136" s="25">
        <v>3350.87</v>
      </c>
      <c r="G136" s="25">
        <f>$B136*'Walgreens National Payments'!E$22</f>
        <v>4390.6776240785302</v>
      </c>
      <c r="H136" s="25">
        <f>$B136*'Walgreens National Payments'!F$22</f>
        <v>4390.6776240785302</v>
      </c>
      <c r="I136" s="25">
        <f>$B136*'Walgreens National Payments'!G$22</f>
        <v>4390.6776240785302</v>
      </c>
      <c r="J136" s="25">
        <f>$B136*'Walgreens National Payments'!H$22</f>
        <v>4390.6776240785302</v>
      </c>
      <c r="K136" s="25">
        <f>$B136*'Walgreens National Payments'!I$22</f>
        <v>4390.6776240785302</v>
      </c>
      <c r="L136" s="25">
        <f>$B136*'Walgreens National Payments'!J$22</f>
        <v>6651.8685072349208</v>
      </c>
      <c r="M136" s="25">
        <f>$B136*'Walgreens National Payments'!K$22</f>
        <v>6651.8685072349208</v>
      </c>
      <c r="N136" s="25">
        <f>$B136*'Walgreens National Payments'!L$22</f>
        <v>6651.8685072349208</v>
      </c>
      <c r="O136" s="25">
        <f>$B136*'Walgreens National Payments'!M$22</f>
        <v>6651.8685072349208</v>
      </c>
      <c r="P136" s="25">
        <f>$B136*'Walgreens National Payments'!N$22</f>
        <v>6651.8685072349208</v>
      </c>
      <c r="Q136" s="25">
        <f>$B136*'Walgreens National Payments'!O$22</f>
        <v>6651.8685072349208</v>
      </c>
      <c r="R136" s="25">
        <f>$B136*'Walgreens National Payments'!P$22</f>
        <v>6651.8685072349208</v>
      </c>
      <c r="S136" s="25">
        <f>$B136*'Walgreens National Payments'!Q$22</f>
        <v>6651.8685072349208</v>
      </c>
      <c r="T136" s="26" t="s">
        <v>346</v>
      </c>
      <c r="U136" s="26">
        <f t="shared" si="8"/>
        <v>84556.836178272002</v>
      </c>
    </row>
    <row r="137" spans="1:21" x14ac:dyDescent="0.35">
      <c r="A137" s="3" t="s">
        <v>98</v>
      </c>
      <c r="B137" s="16">
        <v>1.0289042960000001E-4</v>
      </c>
      <c r="C137" s="8" t="s">
        <v>167</v>
      </c>
      <c r="D137" s="33" t="str">
        <f t="shared" si="7"/>
        <v>No</v>
      </c>
      <c r="E137" s="25">
        <v>503.1</v>
      </c>
      <c r="F137" s="25">
        <v>279.22000000000003</v>
      </c>
      <c r="G137" s="25">
        <f>$B137*'Walgreens National Payments'!E$22</f>
        <v>365.86200120943676</v>
      </c>
      <c r="H137" s="25">
        <f>$B137*'Walgreens National Payments'!F$22</f>
        <v>365.86200120943676</v>
      </c>
      <c r="I137" s="25">
        <f>$B137*'Walgreens National Payments'!G$22</f>
        <v>365.86200120943676</v>
      </c>
      <c r="J137" s="25">
        <f>$B137*'Walgreens National Payments'!H$22</f>
        <v>365.86200120943676</v>
      </c>
      <c r="K137" s="25">
        <f>$B137*'Walgreens National Payments'!I$22</f>
        <v>365.86200120943676</v>
      </c>
      <c r="L137" s="25">
        <f>$B137*'Walgreens National Payments'!J$22</f>
        <v>554.28025744653689</v>
      </c>
      <c r="M137" s="25">
        <f>$B137*'Walgreens National Payments'!K$22</f>
        <v>554.28025744653689</v>
      </c>
      <c r="N137" s="25">
        <f>$B137*'Walgreens National Payments'!L$22</f>
        <v>554.28025744653689</v>
      </c>
      <c r="O137" s="25">
        <f>$B137*'Walgreens National Payments'!M$22</f>
        <v>554.28025744653689</v>
      </c>
      <c r="P137" s="25">
        <f>$B137*'Walgreens National Payments'!N$22</f>
        <v>554.28025744653689</v>
      </c>
      <c r="Q137" s="25">
        <f>$B137*'Walgreens National Payments'!O$22</f>
        <v>554.28025744653689</v>
      </c>
      <c r="R137" s="25">
        <f>$B137*'Walgreens National Payments'!P$22</f>
        <v>554.28025744653689</v>
      </c>
      <c r="S137" s="25">
        <f>$B137*'Walgreens National Payments'!Q$22</f>
        <v>554.28025744653689</v>
      </c>
      <c r="T137" s="26" t="s">
        <v>346</v>
      </c>
      <c r="U137" s="26">
        <f t="shared" si="8"/>
        <v>7045.8720656194782</v>
      </c>
    </row>
    <row r="138" spans="1:21" x14ac:dyDescent="0.35">
      <c r="A138" s="3" t="s">
        <v>168</v>
      </c>
      <c r="B138" s="16">
        <v>6.4066292393600011E-3</v>
      </c>
      <c r="C138" s="8" t="s">
        <v>168</v>
      </c>
      <c r="D138" s="33" t="str">
        <f t="shared" si="7"/>
        <v>No</v>
      </c>
      <c r="E138" s="25">
        <v>31326.12</v>
      </c>
      <c r="F138" s="25">
        <v>17385.91</v>
      </c>
      <c r="G138" s="25">
        <f>$B138*'Walgreens National Payments'!E$22</f>
        <v>22780.954493353009</v>
      </c>
      <c r="H138" s="25">
        <f>$B138*'Walgreens National Payments'!F$22</f>
        <v>22780.954493353009</v>
      </c>
      <c r="I138" s="25">
        <f>$B138*'Walgreens National Payments'!G$22</f>
        <v>22780.954493353009</v>
      </c>
      <c r="J138" s="25">
        <f>$B138*'Walgreens National Payments'!H$22</f>
        <v>22780.954493353009</v>
      </c>
      <c r="K138" s="25">
        <f>$B138*'Walgreens National Payments'!I$22</f>
        <v>22780.954493353009</v>
      </c>
      <c r="L138" s="25">
        <f>$B138*'Walgreens National Payments'!J$22</f>
        <v>34513.10406577379</v>
      </c>
      <c r="M138" s="25">
        <f>$B138*'Walgreens National Payments'!K$22</f>
        <v>34513.10406577379</v>
      </c>
      <c r="N138" s="25">
        <f>$B138*'Walgreens National Payments'!L$22</f>
        <v>34513.10406577379</v>
      </c>
      <c r="O138" s="25">
        <f>$B138*'Walgreens National Payments'!M$22</f>
        <v>34513.10406577379</v>
      </c>
      <c r="P138" s="25">
        <f>$B138*'Walgreens National Payments'!N$22</f>
        <v>34513.10406577379</v>
      </c>
      <c r="Q138" s="25">
        <f>$B138*'Walgreens National Payments'!O$22</f>
        <v>34513.10406577379</v>
      </c>
      <c r="R138" s="25">
        <f>$B138*'Walgreens National Payments'!P$22</f>
        <v>34513.10406577379</v>
      </c>
      <c r="S138" s="25">
        <f>$B138*'Walgreens National Payments'!Q$22</f>
        <v>34513.10406577379</v>
      </c>
      <c r="T138" s="26" t="s">
        <v>346</v>
      </c>
      <c r="U138" s="26">
        <f t="shared" si="8"/>
        <v>438721.63499295525</v>
      </c>
    </row>
    <row r="139" spans="1:21" x14ac:dyDescent="0.35">
      <c r="A139" s="3" t="s">
        <v>55</v>
      </c>
      <c r="B139" s="16">
        <v>1.9759611312000001E-3</v>
      </c>
      <c r="C139" s="8" t="s">
        <v>169</v>
      </c>
      <c r="D139" s="33" t="str">
        <f t="shared" si="7"/>
        <v>No</v>
      </c>
      <c r="E139" s="25">
        <v>9661.74</v>
      </c>
      <c r="F139" s="25">
        <v>5362.24</v>
      </c>
      <c r="G139" s="25">
        <f>$B139*'Walgreens National Payments'!E$22</f>
        <v>7026.2034727950477</v>
      </c>
      <c r="H139" s="25">
        <f>$B139*'Walgreens National Payments'!F$22</f>
        <v>7026.2034727950477</v>
      </c>
      <c r="I139" s="25">
        <f>$B139*'Walgreens National Payments'!G$22</f>
        <v>7026.2034727950477</v>
      </c>
      <c r="J139" s="25">
        <f>$B139*'Walgreens National Payments'!H$22</f>
        <v>7026.2034727950477</v>
      </c>
      <c r="K139" s="25">
        <f>$B139*'Walgreens National Payments'!I$22</f>
        <v>7026.2034727950477</v>
      </c>
      <c r="L139" s="25">
        <f>$B139*'Walgreens National Payments'!J$22</f>
        <v>10644.685310030878</v>
      </c>
      <c r="M139" s="25">
        <f>$B139*'Walgreens National Payments'!K$22</f>
        <v>10644.685310030878</v>
      </c>
      <c r="N139" s="25">
        <f>$B139*'Walgreens National Payments'!L$22</f>
        <v>10644.685310030878</v>
      </c>
      <c r="O139" s="25">
        <f>$B139*'Walgreens National Payments'!M$22</f>
        <v>10644.685310030878</v>
      </c>
      <c r="P139" s="25">
        <f>$B139*'Walgreens National Payments'!N$22</f>
        <v>10644.685310030878</v>
      </c>
      <c r="Q139" s="25">
        <f>$B139*'Walgreens National Payments'!O$22</f>
        <v>10644.685310030878</v>
      </c>
      <c r="R139" s="25">
        <f>$B139*'Walgreens National Payments'!P$22</f>
        <v>10644.685310030878</v>
      </c>
      <c r="S139" s="25">
        <f>$B139*'Walgreens National Payments'!Q$22</f>
        <v>10644.685310030878</v>
      </c>
      <c r="T139" s="26" t="s">
        <v>346</v>
      </c>
      <c r="U139" s="26">
        <f t="shared" si="8"/>
        <v>135312.47984422225</v>
      </c>
    </row>
    <row r="140" spans="1:21" x14ac:dyDescent="0.35">
      <c r="A140" s="3" t="s">
        <v>55</v>
      </c>
      <c r="B140" s="16">
        <v>6.4866012853422349E-3</v>
      </c>
      <c r="C140" s="8" t="s">
        <v>55</v>
      </c>
      <c r="D140" s="33" t="str">
        <f t="shared" si="7"/>
        <v>No</v>
      </c>
      <c r="E140" s="25">
        <v>31717.15</v>
      </c>
      <c r="F140" s="25">
        <v>17602.93</v>
      </c>
      <c r="G140" s="25">
        <f>$B140*'Walgreens National Payments'!E$22</f>
        <v>23065.322367970894</v>
      </c>
      <c r="H140" s="25">
        <f>$B140*'Walgreens National Payments'!F$22</f>
        <v>23065.322367970894</v>
      </c>
      <c r="I140" s="25">
        <f>$B140*'Walgreens National Payments'!G$22</f>
        <v>23065.322367970894</v>
      </c>
      <c r="J140" s="25">
        <f>$B140*'Walgreens National Payments'!H$22</f>
        <v>23065.322367970894</v>
      </c>
      <c r="K140" s="25">
        <f>$B140*'Walgreens National Payments'!I$22</f>
        <v>23065.322367970894</v>
      </c>
      <c r="L140" s="25">
        <f>$B140*'Walgreens National Payments'!J$22</f>
        <v>34943.920871650538</v>
      </c>
      <c r="M140" s="25">
        <f>$B140*'Walgreens National Payments'!K$22</f>
        <v>34943.920871650538</v>
      </c>
      <c r="N140" s="25">
        <f>$B140*'Walgreens National Payments'!L$22</f>
        <v>34943.920871650538</v>
      </c>
      <c r="O140" s="25">
        <f>$B140*'Walgreens National Payments'!M$22</f>
        <v>34943.920871650538</v>
      </c>
      <c r="P140" s="25">
        <f>$B140*'Walgreens National Payments'!N$22</f>
        <v>34943.920871650538</v>
      </c>
      <c r="Q140" s="25">
        <f>$B140*'Walgreens National Payments'!O$22</f>
        <v>34943.920871650538</v>
      </c>
      <c r="R140" s="25">
        <f>$B140*'Walgreens National Payments'!P$22</f>
        <v>34943.920871650538</v>
      </c>
      <c r="S140" s="25">
        <f>$B140*'Walgreens National Payments'!Q$22</f>
        <v>34943.920871650538</v>
      </c>
      <c r="T140" s="26" t="s">
        <v>346</v>
      </c>
      <c r="U140" s="26">
        <f t="shared" si="8"/>
        <v>444198.05881305889</v>
      </c>
    </row>
    <row r="141" spans="1:21" x14ac:dyDescent="0.35">
      <c r="A141" s="3" t="s">
        <v>83</v>
      </c>
      <c r="B141" s="16">
        <v>3.1086096476003178E-4</v>
      </c>
      <c r="C141" s="8" t="s">
        <v>170</v>
      </c>
      <c r="D141" s="33" t="str">
        <f t="shared" si="7"/>
        <v>No</v>
      </c>
      <c r="E141" s="25">
        <v>1520</v>
      </c>
      <c r="F141" s="25">
        <v>843.59</v>
      </c>
      <c r="G141" s="25">
        <f>$B141*'Walgreens National Payments'!E$22</f>
        <v>1105.3721430375037</v>
      </c>
      <c r="H141" s="25">
        <f>$B141*'Walgreens National Payments'!F$22</f>
        <v>1105.3721430375037</v>
      </c>
      <c r="I141" s="25">
        <f>$B141*'Walgreens National Payments'!G$22</f>
        <v>1105.3721430375037</v>
      </c>
      <c r="J141" s="25">
        <f>$B141*'Walgreens National Payments'!H$22</f>
        <v>1105.3721430375037</v>
      </c>
      <c r="K141" s="25">
        <f>$B141*'Walgreens National Payments'!I$22</f>
        <v>1105.3721430375037</v>
      </c>
      <c r="L141" s="25">
        <f>$B141*'Walgreens National Payments'!J$22</f>
        <v>1674.6367591925111</v>
      </c>
      <c r="M141" s="25">
        <f>$B141*'Walgreens National Payments'!K$22</f>
        <v>1674.6367591925111</v>
      </c>
      <c r="N141" s="25">
        <f>$B141*'Walgreens National Payments'!L$22</f>
        <v>1674.6367591925111</v>
      </c>
      <c r="O141" s="25">
        <f>$B141*'Walgreens National Payments'!M$22</f>
        <v>1674.6367591925111</v>
      </c>
      <c r="P141" s="25">
        <f>$B141*'Walgreens National Payments'!N$22</f>
        <v>1674.6367591925111</v>
      </c>
      <c r="Q141" s="25">
        <f>$B141*'Walgreens National Payments'!O$22</f>
        <v>1674.6367591925111</v>
      </c>
      <c r="R141" s="25">
        <f>$B141*'Walgreens National Payments'!P$22</f>
        <v>1674.6367591925111</v>
      </c>
      <c r="S141" s="25">
        <f>$B141*'Walgreens National Payments'!Q$22</f>
        <v>1674.6367591925111</v>
      </c>
      <c r="T141" s="26" t="s">
        <v>346</v>
      </c>
      <c r="U141" s="26">
        <f t="shared" si="8"/>
        <v>21287.54478872761</v>
      </c>
    </row>
    <row r="142" spans="1:21" x14ac:dyDescent="0.35">
      <c r="A142" s="3" t="s">
        <v>83</v>
      </c>
      <c r="B142" s="16">
        <v>2.2630631961371855E-3</v>
      </c>
      <c r="C142" s="8" t="s">
        <v>171</v>
      </c>
      <c r="D142" s="33" t="str">
        <f t="shared" si="7"/>
        <v>No</v>
      </c>
      <c r="E142" s="25">
        <v>11065.57</v>
      </c>
      <c r="F142" s="25">
        <v>6141.36</v>
      </c>
      <c r="G142" s="25">
        <f>$B142*'Walgreens National Payments'!E$22</f>
        <v>8047.0927473139318</v>
      </c>
      <c r="H142" s="25">
        <f>$B142*'Walgreens National Payments'!F$22</f>
        <v>8047.0927473139318</v>
      </c>
      <c r="I142" s="25">
        <f>$B142*'Walgreens National Payments'!G$22</f>
        <v>8047.0927473139318</v>
      </c>
      <c r="J142" s="25">
        <f>$B142*'Walgreens National Payments'!H$22</f>
        <v>8047.0927473139318</v>
      </c>
      <c r="K142" s="25">
        <f>$B142*'Walgreens National Payments'!I$22</f>
        <v>8047.0927473139318</v>
      </c>
      <c r="L142" s="25">
        <f>$B142*'Walgreens National Payments'!J$22</f>
        <v>12191.330679143181</v>
      </c>
      <c r="M142" s="25">
        <f>$B142*'Walgreens National Payments'!K$22</f>
        <v>12191.330679143181</v>
      </c>
      <c r="N142" s="25">
        <f>$B142*'Walgreens National Payments'!L$22</f>
        <v>12191.330679143181</v>
      </c>
      <c r="O142" s="25">
        <f>$B142*'Walgreens National Payments'!M$22</f>
        <v>12191.330679143181</v>
      </c>
      <c r="P142" s="25">
        <f>$B142*'Walgreens National Payments'!N$22</f>
        <v>12191.330679143181</v>
      </c>
      <c r="Q142" s="25">
        <f>$B142*'Walgreens National Payments'!O$22</f>
        <v>12191.330679143181</v>
      </c>
      <c r="R142" s="25">
        <f>$B142*'Walgreens National Payments'!P$22</f>
        <v>12191.330679143181</v>
      </c>
      <c r="S142" s="25">
        <f>$B142*'Walgreens National Payments'!Q$22</f>
        <v>12191.330679143181</v>
      </c>
      <c r="T142" s="26" t="s">
        <v>346</v>
      </c>
      <c r="U142" s="26">
        <f t="shared" si="8"/>
        <v>154973.03916971508</v>
      </c>
    </row>
    <row r="143" spans="1:21" x14ac:dyDescent="0.35">
      <c r="A143" s="3" t="s">
        <v>83</v>
      </c>
      <c r="B143" s="16">
        <v>2.2227072397600002E-2</v>
      </c>
      <c r="C143" s="8" t="s">
        <v>83</v>
      </c>
      <c r="D143" s="33" t="str">
        <f t="shared" si="7"/>
        <v>No</v>
      </c>
      <c r="E143" s="25">
        <v>108682.4</v>
      </c>
      <c r="F143" s="25">
        <v>60318.43</v>
      </c>
      <c r="G143" s="25">
        <f>$B143*'Walgreens National Payments'!E$22</f>
        <v>79035.933857282376</v>
      </c>
      <c r="H143" s="25">
        <f>$B143*'Walgreens National Payments'!F$22</f>
        <v>79035.933857282376</v>
      </c>
      <c r="I143" s="25">
        <f>$B143*'Walgreens National Payments'!G$22</f>
        <v>79035.933857282376</v>
      </c>
      <c r="J143" s="25">
        <f>$B143*'Walgreens National Payments'!H$22</f>
        <v>79035.933857282376</v>
      </c>
      <c r="K143" s="25">
        <f>$B143*'Walgreens National Payments'!I$22</f>
        <v>79035.933857282376</v>
      </c>
      <c r="L143" s="25">
        <f>$B143*'Walgreens National Payments'!J$22</f>
        <v>119739.29410850222</v>
      </c>
      <c r="M143" s="25">
        <f>$B143*'Walgreens National Payments'!K$22</f>
        <v>119739.29410850222</v>
      </c>
      <c r="N143" s="25">
        <f>$B143*'Walgreens National Payments'!L$22</f>
        <v>119739.29410850222</v>
      </c>
      <c r="O143" s="25">
        <f>$B143*'Walgreens National Payments'!M$22</f>
        <v>119739.29410850222</v>
      </c>
      <c r="P143" s="25">
        <f>$B143*'Walgreens National Payments'!N$22</f>
        <v>119739.29410850222</v>
      </c>
      <c r="Q143" s="25">
        <f>$B143*'Walgreens National Payments'!O$22</f>
        <v>119739.29410850222</v>
      </c>
      <c r="R143" s="25">
        <f>$B143*'Walgreens National Payments'!P$22</f>
        <v>119739.29410850222</v>
      </c>
      <c r="S143" s="25">
        <f>$B143*'Walgreens National Payments'!Q$22</f>
        <v>119739.29410850222</v>
      </c>
      <c r="T143" s="26" t="s">
        <v>346</v>
      </c>
      <c r="U143" s="26">
        <f t="shared" si="8"/>
        <v>1522094.8521544295</v>
      </c>
    </row>
    <row r="144" spans="1:21" x14ac:dyDescent="0.35">
      <c r="A144" s="3" t="s">
        <v>172</v>
      </c>
      <c r="B144" s="16">
        <v>9.8379769212851402E-4</v>
      </c>
      <c r="C144" s="8" t="s">
        <v>172</v>
      </c>
      <c r="D144" s="33" t="str">
        <f t="shared" si="7"/>
        <v>No</v>
      </c>
      <c r="E144" s="25">
        <v>4810.42</v>
      </c>
      <c r="F144" s="25">
        <v>2669.77</v>
      </c>
      <c r="G144" s="25">
        <f>$B144*'Walgreens National Payments'!E$22</f>
        <v>3498.2281036890863</v>
      </c>
      <c r="H144" s="25">
        <f>$B144*'Walgreens National Payments'!F$22</f>
        <v>3498.2281036890863</v>
      </c>
      <c r="I144" s="25">
        <f>$B144*'Walgreens National Payments'!G$22</f>
        <v>3498.2281036890863</v>
      </c>
      <c r="J144" s="25">
        <f>$B144*'Walgreens National Payments'!H$22</f>
        <v>3498.2281036890863</v>
      </c>
      <c r="K144" s="25">
        <f>$B144*'Walgreens National Payments'!I$22</f>
        <v>3498.2281036890863</v>
      </c>
      <c r="L144" s="25">
        <f>$B144*'Walgreens National Payments'!J$22</f>
        <v>5299.8091288784117</v>
      </c>
      <c r="M144" s="25">
        <f>$B144*'Walgreens National Payments'!K$22</f>
        <v>5299.8091288784117</v>
      </c>
      <c r="N144" s="25">
        <f>$B144*'Walgreens National Payments'!L$22</f>
        <v>5299.8091288784117</v>
      </c>
      <c r="O144" s="25">
        <f>$B144*'Walgreens National Payments'!M$22</f>
        <v>5299.8091288784117</v>
      </c>
      <c r="P144" s="25">
        <f>$B144*'Walgreens National Payments'!N$22</f>
        <v>5299.8091288784117</v>
      </c>
      <c r="Q144" s="25">
        <f>$B144*'Walgreens National Payments'!O$22</f>
        <v>5299.8091288784117</v>
      </c>
      <c r="R144" s="25">
        <f>$B144*'Walgreens National Payments'!P$22</f>
        <v>5299.8091288784117</v>
      </c>
      <c r="S144" s="25">
        <f>$B144*'Walgreens National Payments'!Q$22</f>
        <v>5299.8091288784117</v>
      </c>
      <c r="T144" s="26" t="s">
        <v>346</v>
      </c>
      <c r="U144" s="26">
        <f t="shared" si="8"/>
        <v>67369.803549472723</v>
      </c>
    </row>
    <row r="145" spans="1:21" x14ac:dyDescent="0.35">
      <c r="A145" s="3" t="s">
        <v>14</v>
      </c>
      <c r="B145" s="16">
        <v>3.1145250536960004E-2</v>
      </c>
      <c r="C145" s="8" t="s">
        <v>14</v>
      </c>
      <c r="D145" s="33" t="str">
        <f t="shared" si="7"/>
        <v>No</v>
      </c>
      <c r="E145" s="25">
        <v>159540.51</v>
      </c>
      <c r="F145" s="25">
        <v>84752.88</v>
      </c>
      <c r="G145" s="25">
        <f>$B145*'Walgreens National Payments'!E$22</f>
        <v>110747.55673506751</v>
      </c>
      <c r="H145" s="25">
        <f>$B145*'Walgreens National Payments'!F$22</f>
        <v>110747.55673506751</v>
      </c>
      <c r="I145" s="25">
        <f>$B145*'Walgreens National Payments'!G$22</f>
        <v>110747.55673506751</v>
      </c>
      <c r="J145" s="25">
        <f>$B145*'Walgreens National Payments'!H$22</f>
        <v>110747.55673506751</v>
      </c>
      <c r="K145" s="25">
        <f>$B145*'Walgreens National Payments'!I$22</f>
        <v>110747.55673506751</v>
      </c>
      <c r="L145" s="25">
        <f>$B145*'Walgreens National Payments'!J$22</f>
        <v>167782.3443149768</v>
      </c>
      <c r="M145" s="25">
        <f>$B145*'Walgreens National Payments'!K$22</f>
        <v>167782.3443149768</v>
      </c>
      <c r="N145" s="25">
        <f>$B145*'Walgreens National Payments'!L$22</f>
        <v>167782.3443149768</v>
      </c>
      <c r="O145" s="25">
        <f>$B145*'Walgreens National Payments'!M$22</f>
        <v>167782.3443149768</v>
      </c>
      <c r="P145" s="25">
        <f>$B145*'Walgreens National Payments'!N$22</f>
        <v>167782.3443149768</v>
      </c>
      <c r="Q145" s="25">
        <f>$B145*'Walgreens National Payments'!O$22</f>
        <v>167782.3443149768</v>
      </c>
      <c r="R145" s="25">
        <f>$B145*'Walgreens National Payments'!P$22</f>
        <v>167782.3443149768</v>
      </c>
      <c r="S145" s="25">
        <f>$B145*'Walgreens National Payments'!Q$22</f>
        <v>167782.3443149768</v>
      </c>
      <c r="T145" s="26" t="s">
        <v>346</v>
      </c>
      <c r="U145" s="26">
        <f t="shared" si="8"/>
        <v>2140289.928195152</v>
      </c>
    </row>
    <row r="146" spans="1:21" x14ac:dyDescent="0.35">
      <c r="A146" s="3" t="s">
        <v>14</v>
      </c>
      <c r="B146" s="16">
        <v>8.5048985958722254E-4</v>
      </c>
      <c r="C146" s="8" t="s">
        <v>173</v>
      </c>
      <c r="D146" s="33" t="str">
        <f t="shared" si="7"/>
        <v>No</v>
      </c>
      <c r="E146" s="25">
        <v>4158.59</v>
      </c>
      <c r="F146" s="25">
        <v>2308.0100000000002</v>
      </c>
      <c r="G146" s="25">
        <f>$B146*'Walgreens National Payments'!E$22</f>
        <v>3024.2066560184144</v>
      </c>
      <c r="H146" s="25">
        <f>$B146*'Walgreens National Payments'!F$22</f>
        <v>3024.2066560184144</v>
      </c>
      <c r="I146" s="25">
        <f>$B146*'Walgreens National Payments'!G$22</f>
        <v>3024.2066560184144</v>
      </c>
      <c r="J146" s="25">
        <f>$B146*'Walgreens National Payments'!H$22</f>
        <v>3024.2066560184144</v>
      </c>
      <c r="K146" s="25">
        <f>$B146*'Walgreens National Payments'!I$22</f>
        <v>3024.2066560184144</v>
      </c>
      <c r="L146" s="25">
        <f>$B146*'Walgreens National Payments'!J$22</f>
        <v>4581.6675094111442</v>
      </c>
      <c r="M146" s="25">
        <f>$B146*'Walgreens National Payments'!K$22</f>
        <v>4581.6675094111442</v>
      </c>
      <c r="N146" s="25">
        <f>$B146*'Walgreens National Payments'!L$22</f>
        <v>4581.6675094111442</v>
      </c>
      <c r="O146" s="25">
        <f>$B146*'Walgreens National Payments'!M$22</f>
        <v>4581.6675094111442</v>
      </c>
      <c r="P146" s="25">
        <f>$B146*'Walgreens National Payments'!N$22</f>
        <v>4581.6675094111442</v>
      </c>
      <c r="Q146" s="25">
        <f>$B146*'Walgreens National Payments'!O$22</f>
        <v>4581.6675094111442</v>
      </c>
      <c r="R146" s="25">
        <f>$B146*'Walgreens National Payments'!P$22</f>
        <v>4581.6675094111442</v>
      </c>
      <c r="S146" s="25">
        <f>$B146*'Walgreens National Payments'!Q$22</f>
        <v>4581.6675094111442</v>
      </c>
      <c r="T146" s="26" t="s">
        <v>346</v>
      </c>
      <c r="U146" s="26">
        <f t="shared" si="8"/>
        <v>58240.973355381211</v>
      </c>
    </row>
    <row r="147" spans="1:21" x14ac:dyDescent="0.35">
      <c r="A147" s="3" t="s">
        <v>174</v>
      </c>
      <c r="B147" s="16">
        <v>4.0439910399508605E-5</v>
      </c>
      <c r="C147" s="8" t="s">
        <v>174</v>
      </c>
      <c r="D147" s="33" t="str">
        <f t="shared" si="7"/>
        <v>Yes</v>
      </c>
      <c r="E147" s="25">
        <v>2927.03</v>
      </c>
      <c r="F147" s="48">
        <v>0</v>
      </c>
      <c r="G147" s="100">
        <f>$B147*'Walgreens National Payments'!E$22</f>
        <v>143.79788873478014</v>
      </c>
      <c r="H147" s="100">
        <f>$B147*'Walgreens National Payments'!F$22</f>
        <v>143.79788873478014</v>
      </c>
      <c r="I147" s="100">
        <f>$B147*'Walgreens National Payments'!G$22</f>
        <v>143.79788873478014</v>
      </c>
      <c r="J147" s="100">
        <f>$B147*'Walgreens National Payments'!H$22</f>
        <v>143.79788873478014</v>
      </c>
      <c r="K147" s="100">
        <f>$B147*'Walgreens National Payments'!I$22</f>
        <v>143.79788873478014</v>
      </c>
      <c r="L147" s="100">
        <f>$B147*'Walgreens National Payments'!J$22</f>
        <v>217.85353637355706</v>
      </c>
      <c r="M147" s="100">
        <f>$B147*'Walgreens National Payments'!K$22</f>
        <v>217.85353637355706</v>
      </c>
      <c r="N147" s="100">
        <f>$B147*'Walgreens National Payments'!L$22</f>
        <v>217.85353637355706</v>
      </c>
      <c r="O147" s="100">
        <f>$B147*'Walgreens National Payments'!M$22</f>
        <v>217.85353637355706</v>
      </c>
      <c r="P147" s="100">
        <f>$B147*'Walgreens National Payments'!N$22</f>
        <v>217.85353637355706</v>
      </c>
      <c r="Q147" s="100">
        <f>$B147*'Walgreens National Payments'!O$22</f>
        <v>217.85353637355706</v>
      </c>
      <c r="R147" s="100">
        <f>$B147*'Walgreens National Payments'!P$22</f>
        <v>217.85353637355706</v>
      </c>
      <c r="S147" s="100">
        <f>$B147*'Walgreens National Payments'!Q$22</f>
        <v>217.85353637355706</v>
      </c>
      <c r="T147" s="26" t="s">
        <v>346</v>
      </c>
      <c r="U147" s="26">
        <f t="shared" si="8"/>
        <v>5388.8477346623586</v>
      </c>
    </row>
    <row r="148" spans="1:21" x14ac:dyDescent="0.35">
      <c r="A148" s="3" t="s">
        <v>175</v>
      </c>
      <c r="B148" s="16">
        <v>8.157508475200001E-4</v>
      </c>
      <c r="C148" s="8" t="s">
        <v>175</v>
      </c>
      <c r="D148" s="33" t="str">
        <f t="shared" si="7"/>
        <v>No</v>
      </c>
      <c r="E148" s="25">
        <v>3988.73</v>
      </c>
      <c r="F148" s="25">
        <v>2213.73</v>
      </c>
      <c r="G148" s="25">
        <f>$B148*'Walgreens National Payments'!E$22</f>
        <v>2900.6802549297677</v>
      </c>
      <c r="H148" s="25">
        <f>$B148*'Walgreens National Payments'!F$22</f>
        <v>2900.6802549297677</v>
      </c>
      <c r="I148" s="25">
        <f>$B148*'Walgreens National Payments'!G$22</f>
        <v>2900.6802549297677</v>
      </c>
      <c r="J148" s="25">
        <f>$B148*'Walgreens National Payments'!H$22</f>
        <v>2900.6802549297677</v>
      </c>
      <c r="K148" s="25">
        <f>$B148*'Walgreens National Payments'!I$22</f>
        <v>2900.6802549297677</v>
      </c>
      <c r="L148" s="25">
        <f>$B148*'Walgreens National Payments'!J$22</f>
        <v>4394.5252394554709</v>
      </c>
      <c r="M148" s="25">
        <f>$B148*'Walgreens National Payments'!K$22</f>
        <v>4394.5252394554709</v>
      </c>
      <c r="N148" s="25">
        <f>$B148*'Walgreens National Payments'!L$22</f>
        <v>4394.5252394554709</v>
      </c>
      <c r="O148" s="25">
        <f>$B148*'Walgreens National Payments'!M$22</f>
        <v>4394.5252394554709</v>
      </c>
      <c r="P148" s="25">
        <f>$B148*'Walgreens National Payments'!N$22</f>
        <v>4394.5252394554709</v>
      </c>
      <c r="Q148" s="25">
        <f>$B148*'Walgreens National Payments'!O$22</f>
        <v>4394.5252394554709</v>
      </c>
      <c r="R148" s="25">
        <f>$B148*'Walgreens National Payments'!P$22</f>
        <v>4394.5252394554709</v>
      </c>
      <c r="S148" s="25">
        <f>$B148*'Walgreens National Payments'!Q$22</f>
        <v>4394.5252394554709</v>
      </c>
      <c r="T148" s="26" t="s">
        <v>346</v>
      </c>
      <c r="U148" s="26">
        <f t="shared" si="8"/>
        <v>55862.063190292603</v>
      </c>
    </row>
    <row r="149" spans="1:21" x14ac:dyDescent="0.35">
      <c r="A149" s="3" t="s">
        <v>176</v>
      </c>
      <c r="B149" s="16">
        <v>5.9449414360000005E-3</v>
      </c>
      <c r="C149" s="8" t="s">
        <v>177</v>
      </c>
      <c r="D149" s="33" t="str">
        <f t="shared" si="7"/>
        <v>No</v>
      </c>
      <c r="E149" s="25">
        <v>29068.63</v>
      </c>
      <c r="F149" s="25">
        <v>16133.01</v>
      </c>
      <c r="G149" s="25">
        <f>$B149*'Walgreens National Payments'!E$22</f>
        <v>21139.266103791859</v>
      </c>
      <c r="H149" s="25">
        <f>$B149*'Walgreens National Payments'!F$22</f>
        <v>21139.266103791859</v>
      </c>
      <c r="I149" s="25">
        <f>$B149*'Walgreens National Payments'!G$22</f>
        <v>21139.266103791859</v>
      </c>
      <c r="J149" s="25">
        <f>$B149*'Walgreens National Payments'!H$22</f>
        <v>21139.266103791859</v>
      </c>
      <c r="K149" s="25">
        <f>$B149*'Walgreens National Payments'!I$22</f>
        <v>21139.266103791859</v>
      </c>
      <c r="L149" s="25">
        <f>$B149*'Walgreens National Payments'!J$22</f>
        <v>32025.949181678454</v>
      </c>
      <c r="M149" s="25">
        <f>$B149*'Walgreens National Payments'!K$22</f>
        <v>32025.949181678454</v>
      </c>
      <c r="N149" s="25">
        <f>$B149*'Walgreens National Payments'!L$22</f>
        <v>32025.949181678454</v>
      </c>
      <c r="O149" s="25">
        <f>$B149*'Walgreens National Payments'!M$22</f>
        <v>32025.949181678454</v>
      </c>
      <c r="P149" s="25">
        <f>$B149*'Walgreens National Payments'!N$22</f>
        <v>32025.949181678454</v>
      </c>
      <c r="Q149" s="25">
        <f>$B149*'Walgreens National Payments'!O$22</f>
        <v>32025.949181678454</v>
      </c>
      <c r="R149" s="25">
        <f>$B149*'Walgreens National Payments'!P$22</f>
        <v>32025.949181678454</v>
      </c>
      <c r="S149" s="25">
        <f>$B149*'Walgreens National Payments'!Q$22</f>
        <v>32025.949181678454</v>
      </c>
      <c r="T149" s="26" t="s">
        <v>346</v>
      </c>
      <c r="U149" s="26">
        <f t="shared" si="8"/>
        <v>407105.56397238694</v>
      </c>
    </row>
    <row r="150" spans="1:21" x14ac:dyDescent="0.35">
      <c r="A150" s="3" t="s">
        <v>178</v>
      </c>
      <c r="B150" s="16">
        <v>4.7307352990073126E-3</v>
      </c>
      <c r="C150" s="8" t="s">
        <v>178</v>
      </c>
      <c r="D150" s="33" t="str">
        <f t="shared" si="7"/>
        <v>No</v>
      </c>
      <c r="E150" s="25">
        <v>23131.599999999999</v>
      </c>
      <c r="F150" s="25">
        <v>12837.97</v>
      </c>
      <c r="G150" s="25">
        <f>$B150*'Walgreens National Payments'!E$22</f>
        <v>16821.742220492568</v>
      </c>
      <c r="H150" s="25">
        <f>$B150*'Walgreens National Payments'!F$22</f>
        <v>16821.742220492568</v>
      </c>
      <c r="I150" s="25">
        <f>$B150*'Walgreens National Payments'!G$22</f>
        <v>16821.742220492568</v>
      </c>
      <c r="J150" s="25">
        <f>$B150*'Walgreens National Payments'!H$22</f>
        <v>16821.742220492568</v>
      </c>
      <c r="K150" s="25">
        <f>$B150*'Walgreens National Payments'!I$22</f>
        <v>16821.742220492568</v>
      </c>
      <c r="L150" s="25">
        <f>$B150*'Walgreens National Payments'!J$22</f>
        <v>25484.908456881323</v>
      </c>
      <c r="M150" s="25">
        <f>$B150*'Walgreens National Payments'!K$22</f>
        <v>25484.908456881323</v>
      </c>
      <c r="N150" s="25">
        <f>$B150*'Walgreens National Payments'!L$22</f>
        <v>25484.908456881323</v>
      </c>
      <c r="O150" s="25">
        <f>$B150*'Walgreens National Payments'!M$22</f>
        <v>25484.908456881323</v>
      </c>
      <c r="P150" s="25">
        <f>$B150*'Walgreens National Payments'!N$22</f>
        <v>25484.908456881323</v>
      </c>
      <c r="Q150" s="25">
        <f>$B150*'Walgreens National Payments'!O$22</f>
        <v>25484.908456881323</v>
      </c>
      <c r="R150" s="25">
        <f>$B150*'Walgreens National Payments'!P$22</f>
        <v>25484.908456881323</v>
      </c>
      <c r="S150" s="25">
        <f>$B150*'Walgreens National Payments'!Q$22</f>
        <v>25484.908456881323</v>
      </c>
      <c r="T150" s="26" t="s">
        <v>346</v>
      </c>
      <c r="U150" s="26">
        <f t="shared" si="8"/>
        <v>323957.5487575134</v>
      </c>
    </row>
    <row r="151" spans="1:21" x14ac:dyDescent="0.35">
      <c r="A151" s="3" t="s">
        <v>179</v>
      </c>
      <c r="B151" s="16">
        <v>1.38586949984E-3</v>
      </c>
      <c r="C151" s="8" t="s">
        <v>179</v>
      </c>
      <c r="D151" s="33" t="str">
        <f t="shared" si="7"/>
        <v>No</v>
      </c>
      <c r="E151" s="25">
        <v>6776.4</v>
      </c>
      <c r="F151" s="25">
        <v>3760.89</v>
      </c>
      <c r="G151" s="25">
        <f>$B151*'Walgreens National Payments'!E$22</f>
        <v>4927.9314956479056</v>
      </c>
      <c r="H151" s="25">
        <f>$B151*'Walgreens National Payments'!F$22</f>
        <v>4927.9314956479056</v>
      </c>
      <c r="I151" s="25">
        <f>$B151*'Walgreens National Payments'!G$22</f>
        <v>4927.9314956479056</v>
      </c>
      <c r="J151" s="25">
        <f>$B151*'Walgreens National Payments'!H$22</f>
        <v>4927.9314956479056</v>
      </c>
      <c r="K151" s="25">
        <f>$B151*'Walgreens National Payments'!I$22</f>
        <v>4927.9314956479056</v>
      </c>
      <c r="L151" s="25">
        <f>$B151*'Walgreens National Payments'!J$22</f>
        <v>7465.8071323537206</v>
      </c>
      <c r="M151" s="25">
        <f>$B151*'Walgreens National Payments'!K$22</f>
        <v>7465.8071323537206</v>
      </c>
      <c r="N151" s="25">
        <f>$B151*'Walgreens National Payments'!L$22</f>
        <v>7465.8071323537206</v>
      </c>
      <c r="O151" s="25">
        <f>$B151*'Walgreens National Payments'!M$22</f>
        <v>7465.8071323537206</v>
      </c>
      <c r="P151" s="25">
        <f>$B151*'Walgreens National Payments'!N$22</f>
        <v>7465.8071323537206</v>
      </c>
      <c r="Q151" s="25">
        <f>$B151*'Walgreens National Payments'!O$22</f>
        <v>7465.8071323537206</v>
      </c>
      <c r="R151" s="25">
        <f>$B151*'Walgreens National Payments'!P$22</f>
        <v>7465.8071323537206</v>
      </c>
      <c r="S151" s="25">
        <f>$B151*'Walgreens National Payments'!Q$22</f>
        <v>7465.8071323537206</v>
      </c>
      <c r="T151" s="26" t="s">
        <v>346</v>
      </c>
      <c r="U151" s="26">
        <f t="shared" si="8"/>
        <v>94903.404537069277</v>
      </c>
    </row>
    <row r="152" spans="1:21" x14ac:dyDescent="0.35">
      <c r="A152" s="3" t="s">
        <v>16</v>
      </c>
      <c r="B152" s="16">
        <v>8.8237929539200007E-3</v>
      </c>
      <c r="C152" s="8" t="s">
        <v>16</v>
      </c>
      <c r="D152" s="33" t="str">
        <f t="shared" si="7"/>
        <v>No</v>
      </c>
      <c r="E152" s="25">
        <v>43145.18</v>
      </c>
      <c r="F152" s="25">
        <v>23945.46</v>
      </c>
      <c r="G152" s="25">
        <f>$B152*'Walgreens National Payments'!E$22</f>
        <v>31376.004171906949</v>
      </c>
      <c r="H152" s="25">
        <f>$B152*'Walgreens National Payments'!F$22</f>
        <v>31376.004171906949</v>
      </c>
      <c r="I152" s="25">
        <f>$B152*'Walgreens National Payments'!G$22</f>
        <v>31376.004171906949</v>
      </c>
      <c r="J152" s="25">
        <f>$B152*'Walgreens National Payments'!H$22</f>
        <v>31376.004171906949</v>
      </c>
      <c r="K152" s="25">
        <f>$B152*'Walgreens National Payments'!I$22</f>
        <v>31376.004171906949</v>
      </c>
      <c r="L152" s="25">
        <f>$B152*'Walgreens National Payments'!J$22</f>
        <v>47534.58848570806</v>
      </c>
      <c r="M152" s="25">
        <f>$B152*'Walgreens National Payments'!K$22</f>
        <v>47534.58848570806</v>
      </c>
      <c r="N152" s="25">
        <f>$B152*'Walgreens National Payments'!L$22</f>
        <v>47534.58848570806</v>
      </c>
      <c r="O152" s="25">
        <f>$B152*'Walgreens National Payments'!M$22</f>
        <v>47534.58848570806</v>
      </c>
      <c r="P152" s="25">
        <f>$B152*'Walgreens National Payments'!N$22</f>
        <v>47534.58848570806</v>
      </c>
      <c r="Q152" s="25">
        <f>$B152*'Walgreens National Payments'!O$22</f>
        <v>47534.58848570806</v>
      </c>
      <c r="R152" s="25">
        <f>$B152*'Walgreens National Payments'!P$22</f>
        <v>47534.58848570806</v>
      </c>
      <c r="S152" s="25">
        <f>$B152*'Walgreens National Payments'!Q$22</f>
        <v>47534.58848570806</v>
      </c>
      <c r="T152" s="26" t="s">
        <v>346</v>
      </c>
      <c r="U152" s="26">
        <f t="shared" si="8"/>
        <v>604247.36874519929</v>
      </c>
    </row>
    <row r="153" spans="1:21" x14ac:dyDescent="0.35">
      <c r="A153" s="3" t="s">
        <v>75</v>
      </c>
      <c r="B153" s="16">
        <v>6.68759179371164E-5</v>
      </c>
      <c r="C153" s="8" t="s">
        <v>180</v>
      </c>
      <c r="D153" s="8" t="s">
        <v>337</v>
      </c>
      <c r="E153" s="25">
        <v>0</v>
      </c>
      <c r="F153" s="25">
        <v>0</v>
      </c>
      <c r="G153" s="25">
        <f>$B153*'Walgreens National Payments'!E$22</f>
        <v>237.80012644821798</v>
      </c>
      <c r="H153" s="25">
        <f>$B153*'Walgreens National Payments'!F$22</f>
        <v>237.80012644821798</v>
      </c>
      <c r="I153" s="25">
        <f>$B153*'Walgreens National Payments'!G$22</f>
        <v>237.80012644821798</v>
      </c>
      <c r="J153" s="25">
        <f>$B153*'Walgreens National Payments'!H$22</f>
        <v>237.80012644821798</v>
      </c>
      <c r="K153" s="25">
        <f>$B153*'Walgreens National Payments'!I$22</f>
        <v>237.80012644821798</v>
      </c>
      <c r="L153" s="25">
        <f>$B153*'Walgreens National Payments'!J$22</f>
        <v>360.26675323706053</v>
      </c>
      <c r="M153" s="25">
        <f>$B153*'Walgreens National Payments'!K$22</f>
        <v>360.26675323706053</v>
      </c>
      <c r="N153" s="25">
        <f>$B153*'Walgreens National Payments'!L$22</f>
        <v>360.26675323706053</v>
      </c>
      <c r="O153" s="25">
        <f>$B153*'Walgreens National Payments'!M$22</f>
        <v>360.26675323706053</v>
      </c>
      <c r="P153" s="25">
        <f>$B153*'Walgreens National Payments'!N$22</f>
        <v>360.26675323706053</v>
      </c>
      <c r="Q153" s="25">
        <f>$B153*'Walgreens National Payments'!O$22</f>
        <v>360.26675323706053</v>
      </c>
      <c r="R153" s="25">
        <f>$B153*'Walgreens National Payments'!P$22</f>
        <v>360.26675323706053</v>
      </c>
      <c r="S153" s="25">
        <f>$B153*'Walgreens National Payments'!Q$22</f>
        <v>360.26675323706053</v>
      </c>
      <c r="T153" s="26" t="s">
        <v>346</v>
      </c>
      <c r="U153" s="26">
        <f t="shared" si="8"/>
        <v>4071.1346581375747</v>
      </c>
    </row>
    <row r="154" spans="1:21" x14ac:dyDescent="0.35">
      <c r="A154" s="3" t="s">
        <v>55</v>
      </c>
      <c r="B154" s="16">
        <v>5.4332409981697403E-5</v>
      </c>
      <c r="C154" s="8" t="s">
        <v>181</v>
      </c>
      <c r="D154" s="33" t="str">
        <f t="shared" ref="D154:D177" si="9">IF(B154&lt;0.000083,"Yes","No")</f>
        <v>Yes</v>
      </c>
      <c r="E154" s="25">
        <v>3932.57</v>
      </c>
      <c r="F154" s="48">
        <v>0</v>
      </c>
      <c r="G154" s="100">
        <f>$B154*'Walgreens National Payments'!E$22</f>
        <v>193.19740741402626</v>
      </c>
      <c r="H154" s="100">
        <f>$B154*'Walgreens National Payments'!F$22</f>
        <v>193.19740741402626</v>
      </c>
      <c r="I154" s="100">
        <f>$B154*'Walgreens National Payments'!G$22</f>
        <v>193.19740741402626</v>
      </c>
      <c r="J154" s="100">
        <f>$B154*'Walgreens National Payments'!H$22</f>
        <v>193.19740741402626</v>
      </c>
      <c r="K154" s="100">
        <f>$B154*'Walgreens National Payments'!I$22</f>
        <v>193.19740741402626</v>
      </c>
      <c r="L154" s="100">
        <f>$B154*'Walgreens National Payments'!J$22</f>
        <v>292.69371611551736</v>
      </c>
      <c r="M154" s="100">
        <f>$B154*'Walgreens National Payments'!K$22</f>
        <v>292.69371611551736</v>
      </c>
      <c r="N154" s="100">
        <f>$B154*'Walgreens National Payments'!L$22</f>
        <v>292.69371611551736</v>
      </c>
      <c r="O154" s="100">
        <f>$B154*'Walgreens National Payments'!M$22</f>
        <v>292.69371611551736</v>
      </c>
      <c r="P154" s="100">
        <f>$B154*'Walgreens National Payments'!N$22</f>
        <v>292.69371611551736</v>
      </c>
      <c r="Q154" s="100">
        <f>$B154*'Walgreens National Payments'!O$22</f>
        <v>292.69371611551736</v>
      </c>
      <c r="R154" s="100">
        <f>$B154*'Walgreens National Payments'!P$22</f>
        <v>292.69371611551736</v>
      </c>
      <c r="S154" s="100">
        <f>$B154*'Walgreens National Payments'!Q$22</f>
        <v>292.69371611551736</v>
      </c>
      <c r="T154" s="26" t="s">
        <v>346</v>
      </c>
      <c r="U154" s="26">
        <f t="shared" si="8"/>
        <v>7240.106765994271</v>
      </c>
    </row>
    <row r="155" spans="1:21" x14ac:dyDescent="0.35">
      <c r="A155" s="3" t="s">
        <v>47</v>
      </c>
      <c r="B155" s="16">
        <v>1.0664953412549122E-4</v>
      </c>
      <c r="C155" s="8" t="s">
        <v>182</v>
      </c>
      <c r="D155" s="33" t="str">
        <f t="shared" si="9"/>
        <v>No</v>
      </c>
      <c r="E155" s="25">
        <v>521.48</v>
      </c>
      <c r="F155" s="25">
        <v>289.42</v>
      </c>
      <c r="G155" s="25">
        <f>$B155*'Walgreens National Payments'!E$22</f>
        <v>379.22877895347352</v>
      </c>
      <c r="H155" s="25">
        <f>$B155*'Walgreens National Payments'!F$22</f>
        <v>379.22877895347352</v>
      </c>
      <c r="I155" s="25">
        <f>$B155*'Walgreens National Payments'!G$22</f>
        <v>379.22877895347352</v>
      </c>
      <c r="J155" s="25">
        <f>$B155*'Walgreens National Payments'!H$22</f>
        <v>379.22877895347352</v>
      </c>
      <c r="K155" s="25">
        <f>$B155*'Walgreens National Payments'!I$22</f>
        <v>379.22877895347352</v>
      </c>
      <c r="L155" s="25">
        <f>$B155*'Walgreens National Payments'!J$22</f>
        <v>574.53090109005132</v>
      </c>
      <c r="M155" s="25">
        <f>$B155*'Walgreens National Payments'!K$22</f>
        <v>574.53090109005132</v>
      </c>
      <c r="N155" s="25">
        <f>$B155*'Walgreens National Payments'!L$22</f>
        <v>574.53090109005132</v>
      </c>
      <c r="O155" s="25">
        <f>$B155*'Walgreens National Payments'!M$22</f>
        <v>574.53090109005132</v>
      </c>
      <c r="P155" s="25">
        <f>$B155*'Walgreens National Payments'!N$22</f>
        <v>574.53090109005132</v>
      </c>
      <c r="Q155" s="25">
        <f>$B155*'Walgreens National Payments'!O$22</f>
        <v>574.53090109005132</v>
      </c>
      <c r="R155" s="25">
        <f>$B155*'Walgreens National Payments'!P$22</f>
        <v>574.53090109005132</v>
      </c>
      <c r="S155" s="25">
        <f>$B155*'Walgreens National Payments'!Q$22</f>
        <v>574.53090109005132</v>
      </c>
      <c r="T155" s="26" t="s">
        <v>346</v>
      </c>
      <c r="U155" s="26">
        <f t="shared" si="8"/>
        <v>7303.2911034877761</v>
      </c>
    </row>
    <row r="156" spans="1:21" x14ac:dyDescent="0.35">
      <c r="A156" s="3" t="s">
        <v>22</v>
      </c>
      <c r="B156" s="16">
        <v>9.4938127254031108E-4</v>
      </c>
      <c r="C156" s="8" t="s">
        <v>183</v>
      </c>
      <c r="D156" s="33" t="str">
        <f t="shared" si="9"/>
        <v>No</v>
      </c>
      <c r="E156" s="25">
        <v>4642.13</v>
      </c>
      <c r="F156" s="25">
        <v>2576.37</v>
      </c>
      <c r="G156" s="25">
        <f>$B156*'Walgreens National Payments'!E$22</f>
        <v>3375.8487901420895</v>
      </c>
      <c r="H156" s="25">
        <f>$B156*'Walgreens National Payments'!F$22</f>
        <v>3375.8487901420895</v>
      </c>
      <c r="I156" s="25">
        <f>$B156*'Walgreens National Payments'!G$22</f>
        <v>3375.8487901420895</v>
      </c>
      <c r="J156" s="25">
        <f>$B156*'Walgreens National Payments'!H$22</f>
        <v>3375.8487901420895</v>
      </c>
      <c r="K156" s="25">
        <f>$B156*'Walgreens National Payments'!I$22</f>
        <v>3375.8487901420895</v>
      </c>
      <c r="L156" s="25">
        <f>$B156*'Walgreens National Payments'!J$22</f>
        <v>5114.4046944339352</v>
      </c>
      <c r="M156" s="25">
        <f>$B156*'Walgreens National Payments'!K$22</f>
        <v>5114.4046944339352</v>
      </c>
      <c r="N156" s="25">
        <f>$B156*'Walgreens National Payments'!L$22</f>
        <v>5114.4046944339352</v>
      </c>
      <c r="O156" s="25">
        <f>$B156*'Walgreens National Payments'!M$22</f>
        <v>5114.4046944339352</v>
      </c>
      <c r="P156" s="25">
        <f>$B156*'Walgreens National Payments'!N$22</f>
        <v>5114.4046944339352</v>
      </c>
      <c r="Q156" s="25">
        <f>$B156*'Walgreens National Payments'!O$22</f>
        <v>5114.4046944339352</v>
      </c>
      <c r="R156" s="25">
        <f>$B156*'Walgreens National Payments'!P$22</f>
        <v>5114.4046944339352</v>
      </c>
      <c r="S156" s="25">
        <f>$B156*'Walgreens National Payments'!Q$22</f>
        <v>5114.4046944339352</v>
      </c>
      <c r="T156" s="26" t="s">
        <v>346</v>
      </c>
      <c r="U156" s="26">
        <f t="shared" si="8"/>
        <v>65012.981506181924</v>
      </c>
    </row>
    <row r="157" spans="1:21" x14ac:dyDescent="0.35">
      <c r="A157" s="3" t="s">
        <v>60</v>
      </c>
      <c r="B157" s="16">
        <v>1.4976536817760001E-2</v>
      </c>
      <c r="C157" s="8" t="s">
        <v>60</v>
      </c>
      <c r="D157" s="33" t="str">
        <f t="shared" si="9"/>
        <v>No</v>
      </c>
      <c r="E157" s="25">
        <v>73652.11</v>
      </c>
      <c r="F157" s="25">
        <v>40642.39</v>
      </c>
      <c r="G157" s="25">
        <f>$B157*'Walgreens National Payments'!E$22</f>
        <v>53254.18265463713</v>
      </c>
      <c r="H157" s="25">
        <f>$B157*'Walgreens National Payments'!F$22</f>
        <v>53254.18265463713</v>
      </c>
      <c r="I157" s="25">
        <f>$B157*'Walgreens National Payments'!G$22</f>
        <v>53254.18265463713</v>
      </c>
      <c r="J157" s="25">
        <f>$B157*'Walgreens National Payments'!H$22</f>
        <v>53254.18265463713</v>
      </c>
      <c r="K157" s="25">
        <f>$B157*'Walgreens National Payments'!I$22</f>
        <v>53254.18265463713</v>
      </c>
      <c r="L157" s="25">
        <f>$B157*'Walgreens National Payments'!J$22</f>
        <v>80679.988559456368</v>
      </c>
      <c r="M157" s="25">
        <f>$B157*'Walgreens National Payments'!K$22</f>
        <v>80679.988559456368</v>
      </c>
      <c r="N157" s="25">
        <f>$B157*'Walgreens National Payments'!L$22</f>
        <v>80679.988559456368</v>
      </c>
      <c r="O157" s="25">
        <f>$B157*'Walgreens National Payments'!M$22</f>
        <v>80679.988559456368</v>
      </c>
      <c r="P157" s="25">
        <f>$B157*'Walgreens National Payments'!N$22</f>
        <v>80679.988559456368</v>
      </c>
      <c r="Q157" s="25">
        <f>$B157*'Walgreens National Payments'!O$22</f>
        <v>80679.988559456368</v>
      </c>
      <c r="R157" s="25">
        <f>$B157*'Walgreens National Payments'!P$22</f>
        <v>80679.988559456368</v>
      </c>
      <c r="S157" s="25">
        <f>$B157*'Walgreens National Payments'!Q$22</f>
        <v>80679.988559456368</v>
      </c>
      <c r="T157" s="26" t="s">
        <v>346</v>
      </c>
      <c r="U157" s="26">
        <f t="shared" si="8"/>
        <v>1026005.3217488364</v>
      </c>
    </row>
    <row r="158" spans="1:21" x14ac:dyDescent="0.35">
      <c r="A158" s="3" t="s">
        <v>22</v>
      </c>
      <c r="B158" s="16">
        <v>4.4797409664000002E-3</v>
      </c>
      <c r="C158" s="8" t="s">
        <v>184</v>
      </c>
      <c r="D158" s="33" t="str">
        <f t="shared" si="9"/>
        <v>No</v>
      </c>
      <c r="E158" s="25">
        <v>21904.32</v>
      </c>
      <c r="F158" s="25">
        <v>12156.84</v>
      </c>
      <c r="G158" s="25">
        <f>$B158*'Walgreens National Payments'!E$22</f>
        <v>15929.246298598408</v>
      </c>
      <c r="H158" s="25">
        <f>$B158*'Walgreens National Payments'!F$22</f>
        <v>15929.246298598408</v>
      </c>
      <c r="I158" s="25">
        <f>$B158*'Walgreens National Payments'!G$22</f>
        <v>15929.246298598408</v>
      </c>
      <c r="J158" s="25">
        <f>$B158*'Walgreens National Payments'!H$22</f>
        <v>15929.246298598408</v>
      </c>
      <c r="K158" s="25">
        <f>$B158*'Walgreens National Payments'!I$22</f>
        <v>15929.246298598408</v>
      </c>
      <c r="L158" s="25">
        <f>$B158*'Walgreens National Payments'!J$22</f>
        <v>24132.7787803307</v>
      </c>
      <c r="M158" s="25">
        <f>$B158*'Walgreens National Payments'!K$22</f>
        <v>24132.7787803307</v>
      </c>
      <c r="N158" s="25">
        <f>$B158*'Walgreens National Payments'!L$22</f>
        <v>24132.7787803307</v>
      </c>
      <c r="O158" s="25">
        <f>$B158*'Walgreens National Payments'!M$22</f>
        <v>24132.7787803307</v>
      </c>
      <c r="P158" s="25">
        <f>$B158*'Walgreens National Payments'!N$22</f>
        <v>24132.7787803307</v>
      </c>
      <c r="Q158" s="25">
        <f>$B158*'Walgreens National Payments'!O$22</f>
        <v>24132.7787803307</v>
      </c>
      <c r="R158" s="25">
        <f>$B158*'Walgreens National Payments'!P$22</f>
        <v>24132.7787803307</v>
      </c>
      <c r="S158" s="25">
        <f>$B158*'Walgreens National Payments'!Q$22</f>
        <v>24132.7787803307</v>
      </c>
      <c r="T158" s="26" t="s">
        <v>346</v>
      </c>
      <c r="U158" s="26">
        <f t="shared" si="8"/>
        <v>306769.62173563766</v>
      </c>
    </row>
    <row r="159" spans="1:21" x14ac:dyDescent="0.35">
      <c r="A159" s="3" t="s">
        <v>185</v>
      </c>
      <c r="B159" s="16">
        <v>7.1513735216000008E-4</v>
      </c>
      <c r="C159" s="8" t="s">
        <v>185</v>
      </c>
      <c r="D159" s="33" t="str">
        <f t="shared" si="9"/>
        <v>No</v>
      </c>
      <c r="E159" s="25">
        <v>3496.76</v>
      </c>
      <c r="F159" s="25">
        <v>1940.69</v>
      </c>
      <c r="G159" s="25">
        <f>$B159*'Walgreens National Payments'!E$22</f>
        <v>2542.9146696931984</v>
      </c>
      <c r="H159" s="25">
        <f>$B159*'Walgreens National Payments'!F$22</f>
        <v>2542.9146696931984</v>
      </c>
      <c r="I159" s="25">
        <f>$B159*'Walgreens National Payments'!G$22</f>
        <v>2542.9146696931984</v>
      </c>
      <c r="J159" s="25">
        <f>$B159*'Walgreens National Payments'!H$22</f>
        <v>2542.9146696931984</v>
      </c>
      <c r="K159" s="25">
        <f>$B159*'Walgreens National Payments'!I$22</f>
        <v>2542.9146696931984</v>
      </c>
      <c r="L159" s="25">
        <f>$B159*'Walgreens National Payments'!J$22</f>
        <v>3852.5110372838749</v>
      </c>
      <c r="M159" s="25">
        <f>$B159*'Walgreens National Payments'!K$22</f>
        <v>3852.5110372838749</v>
      </c>
      <c r="N159" s="25">
        <f>$B159*'Walgreens National Payments'!L$22</f>
        <v>3852.5110372838749</v>
      </c>
      <c r="O159" s="25">
        <f>$B159*'Walgreens National Payments'!M$22</f>
        <v>3852.5110372838749</v>
      </c>
      <c r="P159" s="25">
        <f>$B159*'Walgreens National Payments'!N$22</f>
        <v>3852.5110372838749</v>
      </c>
      <c r="Q159" s="25">
        <f>$B159*'Walgreens National Payments'!O$22</f>
        <v>3852.5110372838749</v>
      </c>
      <c r="R159" s="25">
        <f>$B159*'Walgreens National Payments'!P$22</f>
        <v>3852.5110372838749</v>
      </c>
      <c r="S159" s="25">
        <f>$B159*'Walgreens National Payments'!Q$22</f>
        <v>3852.5110372838749</v>
      </c>
      <c r="T159" s="26" t="s">
        <v>346</v>
      </c>
      <c r="U159" s="26">
        <f t="shared" si="8"/>
        <v>48972.111646736994</v>
      </c>
    </row>
    <row r="160" spans="1:21" x14ac:dyDescent="0.35">
      <c r="A160" s="3" t="s">
        <v>34</v>
      </c>
      <c r="B160" s="16">
        <v>3.6024341155030474E-5</v>
      </c>
      <c r="C160" s="8" t="s">
        <v>186</v>
      </c>
      <c r="D160" s="33" t="str">
        <f t="shared" si="9"/>
        <v>Yes</v>
      </c>
      <c r="E160" s="25">
        <v>2607.44</v>
      </c>
      <c r="F160" s="48">
        <v>0</v>
      </c>
      <c r="G160" s="100">
        <f>$B160*'Walgreens National Payments'!E$22</f>
        <v>128.09682687174745</v>
      </c>
      <c r="H160" s="100">
        <f>$B160*'Walgreens National Payments'!F$22</f>
        <v>128.09682687174745</v>
      </c>
      <c r="I160" s="100">
        <f>$B160*'Walgreens National Payments'!G$22</f>
        <v>128.09682687174745</v>
      </c>
      <c r="J160" s="100">
        <f>$B160*'Walgreens National Payments'!H$22</f>
        <v>128.09682687174745</v>
      </c>
      <c r="K160" s="100">
        <f>$B160*'Walgreens National Payments'!I$22</f>
        <v>128.09682687174745</v>
      </c>
      <c r="L160" s="100">
        <f>$B160*'Walgreens National Payments'!J$22</f>
        <v>194.06645659250083</v>
      </c>
      <c r="M160" s="100">
        <f>$B160*'Walgreens National Payments'!K$22</f>
        <v>194.06645659250083</v>
      </c>
      <c r="N160" s="100">
        <f>$B160*'Walgreens National Payments'!L$22</f>
        <v>194.06645659250083</v>
      </c>
      <c r="O160" s="100">
        <f>$B160*'Walgreens National Payments'!M$22</f>
        <v>194.06645659250083</v>
      </c>
      <c r="P160" s="100">
        <f>$B160*'Walgreens National Payments'!N$22</f>
        <v>194.06645659250083</v>
      </c>
      <c r="Q160" s="100">
        <f>$B160*'Walgreens National Payments'!O$22</f>
        <v>194.06645659250083</v>
      </c>
      <c r="R160" s="100">
        <f>$B160*'Walgreens National Payments'!P$22</f>
        <v>194.06645659250083</v>
      </c>
      <c r="S160" s="100">
        <f>$B160*'Walgreens National Payments'!Q$22</f>
        <v>194.06645659250083</v>
      </c>
      <c r="T160" s="26" t="s">
        <v>346</v>
      </c>
      <c r="U160" s="26">
        <f t="shared" si="8"/>
        <v>4800.4557870987437</v>
      </c>
    </row>
    <row r="161" spans="1:21" x14ac:dyDescent="0.35">
      <c r="A161" s="3" t="s">
        <v>187</v>
      </c>
      <c r="B161" s="16">
        <v>5.4349003265225979E-4</v>
      </c>
      <c r="C161" s="8" t="s">
        <v>187</v>
      </c>
      <c r="D161" s="33" t="str">
        <f t="shared" si="9"/>
        <v>No</v>
      </c>
      <c r="E161" s="25">
        <v>2657.47</v>
      </c>
      <c r="F161" s="25">
        <v>1474.89</v>
      </c>
      <c r="G161" s="25">
        <f>$B161*'Walgreens National Payments'!E$22</f>
        <v>1932.5641049081387</v>
      </c>
      <c r="H161" s="25">
        <f>$B161*'Walgreens National Payments'!F$22</f>
        <v>1932.5641049081387</v>
      </c>
      <c r="I161" s="25">
        <f>$B161*'Walgreens National Payments'!G$22</f>
        <v>1932.5641049081387</v>
      </c>
      <c r="J161" s="25">
        <f>$B161*'Walgreens National Payments'!H$22</f>
        <v>1932.5641049081387</v>
      </c>
      <c r="K161" s="25">
        <f>$B161*'Walgreens National Payments'!I$22</f>
        <v>1932.5641049081387</v>
      </c>
      <c r="L161" s="25">
        <f>$B161*'Walgreens National Payments'!J$22</f>
        <v>2927.8310566809146</v>
      </c>
      <c r="M161" s="25">
        <f>$B161*'Walgreens National Payments'!K$22</f>
        <v>2927.8310566809146</v>
      </c>
      <c r="N161" s="25">
        <f>$B161*'Walgreens National Payments'!L$22</f>
        <v>2927.8310566809146</v>
      </c>
      <c r="O161" s="25">
        <f>$B161*'Walgreens National Payments'!M$22</f>
        <v>2927.8310566809146</v>
      </c>
      <c r="P161" s="25">
        <f>$B161*'Walgreens National Payments'!N$22</f>
        <v>2927.8310566809146</v>
      </c>
      <c r="Q161" s="25">
        <f>$B161*'Walgreens National Payments'!O$22</f>
        <v>2927.8310566809146</v>
      </c>
      <c r="R161" s="25">
        <f>$B161*'Walgreens National Payments'!P$22</f>
        <v>2927.8310566809146</v>
      </c>
      <c r="S161" s="25">
        <f>$B161*'Walgreens National Payments'!Q$22</f>
        <v>2927.8310566809146</v>
      </c>
      <c r="T161" s="26" t="s">
        <v>346</v>
      </c>
      <c r="U161" s="26">
        <f t="shared" si="8"/>
        <v>37217.828977988022</v>
      </c>
    </row>
    <row r="162" spans="1:21" x14ac:dyDescent="0.35">
      <c r="A162" s="3" t="s">
        <v>75</v>
      </c>
      <c r="B162" s="16">
        <v>8.6511046550880003E-2</v>
      </c>
      <c r="C162" s="8" t="s">
        <v>75</v>
      </c>
      <c r="D162" s="33" t="str">
        <f t="shared" si="9"/>
        <v>No</v>
      </c>
      <c r="E162" s="25">
        <v>427848.42</v>
      </c>
      <c r="F162" s="25">
        <v>234768.25</v>
      </c>
      <c r="G162" s="25">
        <f>$B162*'Walgreens National Payments'!E$22</f>
        <v>307619.52050230041</v>
      </c>
      <c r="H162" s="25">
        <f>$B162*'Walgreens National Payments'!F$22</f>
        <v>307619.52050230041</v>
      </c>
      <c r="I162" s="25">
        <f>$B162*'Walgreens National Payments'!G$22</f>
        <v>307619.52050230041</v>
      </c>
      <c r="J162" s="25">
        <f>$B162*'Walgreens National Payments'!H$22</f>
        <v>307619.52050230041</v>
      </c>
      <c r="K162" s="25">
        <f>$B162*'Walgreens National Payments'!I$22</f>
        <v>307619.52050230041</v>
      </c>
      <c r="L162" s="25">
        <f>$B162*'Walgreens National Payments'!J$22</f>
        <v>466043.00653236947</v>
      </c>
      <c r="M162" s="25">
        <f>$B162*'Walgreens National Payments'!K$22</f>
        <v>466043.00653236947</v>
      </c>
      <c r="N162" s="25">
        <f>$B162*'Walgreens National Payments'!L$22</f>
        <v>466043.00653236947</v>
      </c>
      <c r="O162" s="25">
        <f>$B162*'Walgreens National Payments'!M$22</f>
        <v>466043.00653236947</v>
      </c>
      <c r="P162" s="25">
        <f>$B162*'Walgreens National Payments'!N$22</f>
        <v>466043.00653236947</v>
      </c>
      <c r="Q162" s="25">
        <f>$B162*'Walgreens National Payments'!O$22</f>
        <v>466043.00653236947</v>
      </c>
      <c r="R162" s="25">
        <f>$B162*'Walgreens National Payments'!P$22</f>
        <v>466043.00653236947</v>
      </c>
      <c r="S162" s="25">
        <f>$B162*'Walgreens National Payments'!Q$22</f>
        <v>466043.00653236947</v>
      </c>
      <c r="T162" s="26" t="s">
        <v>346</v>
      </c>
      <c r="U162" s="26">
        <f t="shared" si="8"/>
        <v>5929058.324770458</v>
      </c>
    </row>
    <row r="163" spans="1:21" x14ac:dyDescent="0.35">
      <c r="A163" s="3" t="s">
        <v>75</v>
      </c>
      <c r="B163" s="16">
        <v>6.4650348945139346E-4</v>
      </c>
      <c r="C163" s="8" t="s">
        <v>188</v>
      </c>
      <c r="D163" s="33" t="str">
        <f t="shared" si="9"/>
        <v>No</v>
      </c>
      <c r="E163" s="25">
        <v>3161.17</v>
      </c>
      <c r="F163" s="25">
        <v>1754.44</v>
      </c>
      <c r="G163" s="25">
        <f>$B163*'Walgreens National Payments'!E$22</f>
        <v>2298.8635712681557</v>
      </c>
      <c r="H163" s="25">
        <f>$B163*'Walgreens National Payments'!F$22</f>
        <v>2298.8635712681557</v>
      </c>
      <c r="I163" s="25">
        <f>$B163*'Walgreens National Payments'!G$22</f>
        <v>2298.8635712681557</v>
      </c>
      <c r="J163" s="25">
        <f>$B163*'Walgreens National Payments'!H$22</f>
        <v>2298.8635712681557</v>
      </c>
      <c r="K163" s="25">
        <f>$B163*'Walgreens National Payments'!I$22</f>
        <v>2298.8635712681557</v>
      </c>
      <c r="L163" s="25">
        <f>$B163*'Walgreens National Payments'!J$22</f>
        <v>3482.7740730242103</v>
      </c>
      <c r="M163" s="25">
        <f>$B163*'Walgreens National Payments'!K$22</f>
        <v>3482.7740730242103</v>
      </c>
      <c r="N163" s="25">
        <f>$B163*'Walgreens National Payments'!L$22</f>
        <v>3482.7740730242103</v>
      </c>
      <c r="O163" s="25">
        <f>$B163*'Walgreens National Payments'!M$22</f>
        <v>3482.7740730242103</v>
      </c>
      <c r="P163" s="25">
        <f>$B163*'Walgreens National Payments'!N$22</f>
        <v>3482.7740730242103</v>
      </c>
      <c r="Q163" s="25">
        <f>$B163*'Walgreens National Payments'!O$22</f>
        <v>3482.7740730242103</v>
      </c>
      <c r="R163" s="25">
        <f>$B163*'Walgreens National Payments'!P$22</f>
        <v>3482.7740730242103</v>
      </c>
      <c r="S163" s="25">
        <f>$B163*'Walgreens National Payments'!Q$22</f>
        <v>3482.7740730242103</v>
      </c>
      <c r="T163" s="26" t="s">
        <v>346</v>
      </c>
      <c r="U163" s="26">
        <f t="shared" si="8"/>
        <v>44272.120440534454</v>
      </c>
    </row>
    <row r="164" spans="1:21" x14ac:dyDescent="0.35">
      <c r="A164" s="3" t="s">
        <v>34</v>
      </c>
      <c r="B164" s="16">
        <v>8.6236729860592748E-4</v>
      </c>
      <c r="C164" s="8" t="s">
        <v>189</v>
      </c>
      <c r="D164" s="33" t="str">
        <f t="shared" si="9"/>
        <v>No</v>
      </c>
      <c r="E164" s="25">
        <v>4216.67</v>
      </c>
      <c r="F164" s="25">
        <v>2340.2399999999998</v>
      </c>
      <c r="G164" s="25">
        <f>$B164*'Walgreens National Payments'!E$22</f>
        <v>3066.4409398630842</v>
      </c>
      <c r="H164" s="25">
        <f>$B164*'Walgreens National Payments'!F$22</f>
        <v>3066.4409398630842</v>
      </c>
      <c r="I164" s="25">
        <f>$B164*'Walgreens National Payments'!G$22</f>
        <v>3066.4409398630842</v>
      </c>
      <c r="J164" s="25">
        <f>$B164*'Walgreens National Payments'!H$22</f>
        <v>3066.4409398630842</v>
      </c>
      <c r="K164" s="25">
        <f>$B164*'Walgreens National Payments'!I$22</f>
        <v>3066.4409398630842</v>
      </c>
      <c r="L164" s="25">
        <f>$B164*'Walgreens National Payments'!J$22</f>
        <v>4645.6523715862486</v>
      </c>
      <c r="M164" s="25">
        <f>$B164*'Walgreens National Payments'!K$22</f>
        <v>4645.6523715862486</v>
      </c>
      <c r="N164" s="25">
        <f>$B164*'Walgreens National Payments'!L$22</f>
        <v>4645.6523715862486</v>
      </c>
      <c r="O164" s="25">
        <f>$B164*'Walgreens National Payments'!M$22</f>
        <v>4645.6523715862486</v>
      </c>
      <c r="P164" s="25">
        <f>$B164*'Walgreens National Payments'!N$22</f>
        <v>4645.6523715862486</v>
      </c>
      <c r="Q164" s="25">
        <f>$B164*'Walgreens National Payments'!O$22</f>
        <v>4645.6523715862486</v>
      </c>
      <c r="R164" s="25">
        <f>$B164*'Walgreens National Payments'!P$22</f>
        <v>4645.6523715862486</v>
      </c>
      <c r="S164" s="25">
        <f>$B164*'Walgreens National Payments'!Q$22</f>
        <v>4645.6523715862486</v>
      </c>
      <c r="T164" s="26" t="s">
        <v>346</v>
      </c>
      <c r="U164" s="26">
        <f t="shared" si="8"/>
        <v>59054.333672005421</v>
      </c>
    </row>
    <row r="165" spans="1:21" x14ac:dyDescent="0.35">
      <c r="A165" s="3" t="s">
        <v>190</v>
      </c>
      <c r="B165" s="16">
        <v>3.4954682537600003E-3</v>
      </c>
      <c r="C165" s="8" t="s">
        <v>190</v>
      </c>
      <c r="D165" s="33" t="str">
        <f t="shared" si="9"/>
        <v>No</v>
      </c>
      <c r="E165" s="25">
        <v>17091.580000000002</v>
      </c>
      <c r="F165" s="25">
        <v>9485.7800000000007</v>
      </c>
      <c r="G165" s="25">
        <f>$B165*'Walgreens National Payments'!E$22</f>
        <v>12429.329097530455</v>
      </c>
      <c r="H165" s="25">
        <f>$B165*'Walgreens National Payments'!F$22</f>
        <v>12429.329097530455</v>
      </c>
      <c r="I165" s="25">
        <f>$B165*'Walgreens National Payments'!G$22</f>
        <v>12429.329097530455</v>
      </c>
      <c r="J165" s="25">
        <f>$B165*'Walgreens National Payments'!H$22</f>
        <v>12429.329097530455</v>
      </c>
      <c r="K165" s="25">
        <f>$B165*'Walgreens National Payments'!I$22</f>
        <v>12429.329097530455</v>
      </c>
      <c r="L165" s="25">
        <f>$B165*'Walgreens National Payments'!J$22</f>
        <v>18830.410672036785</v>
      </c>
      <c r="M165" s="25">
        <f>$B165*'Walgreens National Payments'!K$22</f>
        <v>18830.410672036785</v>
      </c>
      <c r="N165" s="25">
        <f>$B165*'Walgreens National Payments'!L$22</f>
        <v>18830.410672036785</v>
      </c>
      <c r="O165" s="25">
        <f>$B165*'Walgreens National Payments'!M$22</f>
        <v>18830.410672036785</v>
      </c>
      <c r="P165" s="25">
        <f>$B165*'Walgreens National Payments'!N$22</f>
        <v>18830.410672036785</v>
      </c>
      <c r="Q165" s="25">
        <f>$B165*'Walgreens National Payments'!O$22</f>
        <v>18830.410672036785</v>
      </c>
      <c r="R165" s="25">
        <f>$B165*'Walgreens National Payments'!P$22</f>
        <v>18830.410672036785</v>
      </c>
      <c r="S165" s="25">
        <f>$B165*'Walgreens National Payments'!Q$22</f>
        <v>18830.410672036785</v>
      </c>
      <c r="T165" s="26" t="s">
        <v>346</v>
      </c>
      <c r="U165" s="26">
        <f t="shared" si="8"/>
        <v>239367.29086394657</v>
      </c>
    </row>
    <row r="166" spans="1:21" x14ac:dyDescent="0.35">
      <c r="A166" s="3" t="s">
        <v>60</v>
      </c>
      <c r="B166" s="16">
        <v>1.1882634073892149E-6</v>
      </c>
      <c r="C166" s="8" t="s">
        <v>191</v>
      </c>
      <c r="D166" s="33" t="str">
        <f t="shared" si="9"/>
        <v>Yes</v>
      </c>
      <c r="E166" s="25">
        <v>86.01</v>
      </c>
      <c r="F166" s="48">
        <v>0</v>
      </c>
      <c r="G166" s="100">
        <f>$B166*'Walgreens National Payments'!E$22</f>
        <v>4.2252756634555082</v>
      </c>
      <c r="H166" s="100">
        <f>$B166*'Walgreens National Payments'!F$22</f>
        <v>4.2252756634555082</v>
      </c>
      <c r="I166" s="100">
        <f>$B166*'Walgreens National Payments'!G$22</f>
        <v>4.2252756634555082</v>
      </c>
      <c r="J166" s="100">
        <f>$B166*'Walgreens National Payments'!H$22</f>
        <v>4.2252756634555082</v>
      </c>
      <c r="K166" s="100">
        <f>$B166*'Walgreens National Payments'!I$22</f>
        <v>4.2252756634555082</v>
      </c>
      <c r="L166" s="100">
        <f>$B166*'Walgreens National Payments'!J$22</f>
        <v>6.4012848417730108</v>
      </c>
      <c r="M166" s="100">
        <f>$B166*'Walgreens National Payments'!K$22</f>
        <v>6.4012848417730108</v>
      </c>
      <c r="N166" s="100">
        <f>$B166*'Walgreens National Payments'!L$22</f>
        <v>6.4012848417730108</v>
      </c>
      <c r="O166" s="100">
        <f>$B166*'Walgreens National Payments'!M$22</f>
        <v>6.4012848417730108</v>
      </c>
      <c r="P166" s="100">
        <f>$B166*'Walgreens National Payments'!N$22</f>
        <v>6.4012848417730108</v>
      </c>
      <c r="Q166" s="100">
        <f>$B166*'Walgreens National Payments'!O$22</f>
        <v>6.4012848417730108</v>
      </c>
      <c r="R166" s="100">
        <f>$B166*'Walgreens National Payments'!P$22</f>
        <v>6.4012848417730108</v>
      </c>
      <c r="S166" s="100">
        <f>$B166*'Walgreens National Payments'!Q$22</f>
        <v>6.4012848417730108</v>
      </c>
      <c r="T166" s="26" t="s">
        <v>346</v>
      </c>
      <c r="U166" s="26">
        <f t="shared" si="8"/>
        <v>158.34665705146165</v>
      </c>
    </row>
    <row r="167" spans="1:21" x14ac:dyDescent="0.35">
      <c r="A167" s="3" t="s">
        <v>192</v>
      </c>
      <c r="B167" s="16">
        <v>1.8731634511339281E-4</v>
      </c>
      <c r="C167" s="8" t="s">
        <v>193</v>
      </c>
      <c r="D167" s="33" t="str">
        <f t="shared" si="9"/>
        <v>No</v>
      </c>
      <c r="E167" s="25">
        <v>915.91</v>
      </c>
      <c r="F167" s="25">
        <v>508.33</v>
      </c>
      <c r="G167" s="25">
        <f>$B167*'Walgreens National Payments'!E$22</f>
        <v>666.06712741748902</v>
      </c>
      <c r="H167" s="25">
        <f>$B167*'Walgreens National Payments'!F$22</f>
        <v>666.06712741748902</v>
      </c>
      <c r="I167" s="25">
        <f>$B167*'Walgreens National Payments'!G$22</f>
        <v>666.06712741748902</v>
      </c>
      <c r="J167" s="25">
        <f>$B167*'Walgreens National Payments'!H$22</f>
        <v>666.06712741748902</v>
      </c>
      <c r="K167" s="25">
        <f>$B167*'Walgreens National Payments'!I$22</f>
        <v>666.06712741748902</v>
      </c>
      <c r="L167" s="25">
        <f>$B167*'Walgreens National Payments'!J$22</f>
        <v>1009.0904702899181</v>
      </c>
      <c r="M167" s="25">
        <f>$B167*'Walgreens National Payments'!K$22</f>
        <v>1009.0904702899181</v>
      </c>
      <c r="N167" s="25">
        <f>$B167*'Walgreens National Payments'!L$22</f>
        <v>1009.0904702899181</v>
      </c>
      <c r="O167" s="25">
        <f>$B167*'Walgreens National Payments'!M$22</f>
        <v>1009.0904702899181</v>
      </c>
      <c r="P167" s="25">
        <f>$B167*'Walgreens National Payments'!N$22</f>
        <v>1009.0904702899181</v>
      </c>
      <c r="Q167" s="25">
        <f>$B167*'Walgreens National Payments'!O$22</f>
        <v>1009.0904702899181</v>
      </c>
      <c r="R167" s="25">
        <f>$B167*'Walgreens National Payments'!P$22</f>
        <v>1009.0904702899181</v>
      </c>
      <c r="S167" s="25">
        <f>$B167*'Walgreens National Payments'!Q$22</f>
        <v>1009.0904702899181</v>
      </c>
      <c r="T167" s="26" t="s">
        <v>346</v>
      </c>
      <c r="U167" s="26">
        <f t="shared" si="8"/>
        <v>12827.299399406793</v>
      </c>
    </row>
    <row r="168" spans="1:21" x14ac:dyDescent="0.35">
      <c r="A168" s="3" t="s">
        <v>192</v>
      </c>
      <c r="B168" s="16">
        <v>6.0352741926400005E-3</v>
      </c>
      <c r="C168" s="8" t="s">
        <v>192</v>
      </c>
      <c r="D168" s="33" t="str">
        <f t="shared" si="9"/>
        <v>No</v>
      </c>
      <c r="E168" s="25">
        <v>29510.32</v>
      </c>
      <c r="F168" s="25">
        <v>16378.15</v>
      </c>
      <c r="G168" s="25">
        <f>$B168*'Walgreens National Payments'!E$22</f>
        <v>21460.475017463996</v>
      </c>
      <c r="H168" s="25">
        <f>$B168*'Walgreens National Payments'!F$22</f>
        <v>21460.475017463996</v>
      </c>
      <c r="I168" s="25">
        <f>$B168*'Walgreens National Payments'!G$22</f>
        <v>21460.475017463996</v>
      </c>
      <c r="J168" s="25">
        <f>$B168*'Walgreens National Payments'!H$22</f>
        <v>21460.475017463996</v>
      </c>
      <c r="K168" s="25">
        <f>$B168*'Walgreens National Payments'!I$22</f>
        <v>21460.475017463996</v>
      </c>
      <c r="L168" s="25">
        <f>$B168*'Walgreens National Payments'!J$22</f>
        <v>32512.580093814082</v>
      </c>
      <c r="M168" s="25">
        <f>$B168*'Walgreens National Payments'!K$22</f>
        <v>32512.580093814082</v>
      </c>
      <c r="N168" s="25">
        <f>$B168*'Walgreens National Payments'!L$22</f>
        <v>32512.580093814082</v>
      </c>
      <c r="O168" s="25">
        <f>$B168*'Walgreens National Payments'!M$22</f>
        <v>32512.580093814082</v>
      </c>
      <c r="P168" s="25">
        <f>$B168*'Walgreens National Payments'!N$22</f>
        <v>32512.580093814082</v>
      </c>
      <c r="Q168" s="25">
        <f>$B168*'Walgreens National Payments'!O$22</f>
        <v>32512.580093814082</v>
      </c>
      <c r="R168" s="25">
        <f>$B168*'Walgreens National Payments'!P$22</f>
        <v>32512.580093814082</v>
      </c>
      <c r="S168" s="25">
        <f>$B168*'Walgreens National Payments'!Q$22</f>
        <v>32512.580093814082</v>
      </c>
      <c r="T168" s="26" t="s">
        <v>346</v>
      </c>
      <c r="U168" s="26">
        <f t="shared" si="8"/>
        <v>413291.48583783256</v>
      </c>
    </row>
    <row r="169" spans="1:21" x14ac:dyDescent="0.35">
      <c r="A169" s="3" t="s">
        <v>194</v>
      </c>
      <c r="B169" s="16">
        <v>2.7857703115200002E-3</v>
      </c>
      <c r="C169" s="8" t="s">
        <v>194</v>
      </c>
      <c r="D169" s="33" t="str">
        <f t="shared" si="9"/>
        <v>No</v>
      </c>
      <c r="E169" s="25">
        <v>13621.42</v>
      </c>
      <c r="F169" s="25">
        <v>7559.85</v>
      </c>
      <c r="G169" s="25">
        <f>$B169*'Walgreens National Payments'!E$22</f>
        <v>9905.7561042834168</v>
      </c>
      <c r="H169" s="25">
        <f>$B169*'Walgreens National Payments'!F$22</f>
        <v>9905.7561042834168</v>
      </c>
      <c r="I169" s="25">
        <f>$B169*'Walgreens National Payments'!G$22</f>
        <v>9905.7561042834168</v>
      </c>
      <c r="J169" s="25">
        <f>$B169*'Walgreens National Payments'!H$22</f>
        <v>9905.7561042834168</v>
      </c>
      <c r="K169" s="25">
        <f>$B169*'Walgreens National Payments'!I$22</f>
        <v>9905.7561042834168</v>
      </c>
      <c r="L169" s="25">
        <f>$B169*'Walgreens National Payments'!J$22</f>
        <v>15007.202238916736</v>
      </c>
      <c r="M169" s="25">
        <f>$B169*'Walgreens National Payments'!K$22</f>
        <v>15007.202238916736</v>
      </c>
      <c r="N169" s="25">
        <f>$B169*'Walgreens National Payments'!L$22</f>
        <v>15007.202238916736</v>
      </c>
      <c r="O169" s="25">
        <f>$B169*'Walgreens National Payments'!M$22</f>
        <v>15007.202238916736</v>
      </c>
      <c r="P169" s="25">
        <f>$B169*'Walgreens National Payments'!N$22</f>
        <v>15007.202238916736</v>
      </c>
      <c r="Q169" s="25">
        <f>$B169*'Walgreens National Payments'!O$22</f>
        <v>15007.202238916736</v>
      </c>
      <c r="R169" s="25">
        <f>$B169*'Walgreens National Payments'!P$22</f>
        <v>15007.202238916736</v>
      </c>
      <c r="S169" s="25">
        <f>$B169*'Walgreens National Payments'!Q$22</f>
        <v>15007.202238916736</v>
      </c>
      <c r="T169" s="26" t="s">
        <v>346</v>
      </c>
      <c r="U169" s="26">
        <f t="shared" si="8"/>
        <v>190767.66843275097</v>
      </c>
    </row>
    <row r="170" spans="1:21" x14ac:dyDescent="0.35">
      <c r="A170" s="3" t="s">
        <v>52</v>
      </c>
      <c r="B170" s="16">
        <v>1.9846587479771158E-3</v>
      </c>
      <c r="C170" s="8" t="s">
        <v>52</v>
      </c>
      <c r="D170" s="33" t="str">
        <f t="shared" si="9"/>
        <v>No</v>
      </c>
      <c r="E170" s="25">
        <v>9704.27</v>
      </c>
      <c r="F170" s="25">
        <v>5385.84</v>
      </c>
      <c r="G170" s="25">
        <f>$B170*'Walgreens National Payments'!E$22</f>
        <v>7057.1308145526755</v>
      </c>
      <c r="H170" s="25">
        <f>$B170*'Walgreens National Payments'!F$22</f>
        <v>7057.1308145526755</v>
      </c>
      <c r="I170" s="25">
        <f>$B170*'Walgreens National Payments'!G$22</f>
        <v>7057.1308145526755</v>
      </c>
      <c r="J170" s="25">
        <f>$B170*'Walgreens National Payments'!H$22</f>
        <v>7057.1308145526755</v>
      </c>
      <c r="K170" s="25">
        <f>$B170*'Walgreens National Payments'!I$22</f>
        <v>7057.1308145526755</v>
      </c>
      <c r="L170" s="25">
        <f>$B170*'Walgreens National Payments'!J$22</f>
        <v>10691.540175785962</v>
      </c>
      <c r="M170" s="25">
        <f>$B170*'Walgreens National Payments'!K$22</f>
        <v>10691.540175785962</v>
      </c>
      <c r="N170" s="25">
        <f>$B170*'Walgreens National Payments'!L$22</f>
        <v>10691.540175785962</v>
      </c>
      <c r="O170" s="25">
        <f>$B170*'Walgreens National Payments'!M$22</f>
        <v>10691.540175785962</v>
      </c>
      <c r="P170" s="25">
        <f>$B170*'Walgreens National Payments'!N$22</f>
        <v>10691.540175785962</v>
      </c>
      <c r="Q170" s="25">
        <f>$B170*'Walgreens National Payments'!O$22</f>
        <v>10691.540175785962</v>
      </c>
      <c r="R170" s="25">
        <f>$B170*'Walgreens National Payments'!P$22</f>
        <v>10691.540175785962</v>
      </c>
      <c r="S170" s="25">
        <f>$B170*'Walgreens National Payments'!Q$22</f>
        <v>10691.540175785962</v>
      </c>
      <c r="T170" s="26" t="s">
        <v>346</v>
      </c>
      <c r="U170" s="26">
        <f t="shared" si="8"/>
        <v>135908.08547905111</v>
      </c>
    </row>
    <row r="171" spans="1:21" x14ac:dyDescent="0.35">
      <c r="A171" s="3" t="s">
        <v>22</v>
      </c>
      <c r="B171" s="16">
        <v>3.1054294121660652E-4</v>
      </c>
      <c r="C171" s="8" t="s">
        <v>195</v>
      </c>
      <c r="D171" s="33" t="str">
        <f t="shared" si="9"/>
        <v>No</v>
      </c>
      <c r="E171" s="25">
        <v>1518.44</v>
      </c>
      <c r="F171" s="25">
        <v>842.73</v>
      </c>
      <c r="G171" s="25">
        <f>$B171*'Walgreens National Payments'!E$22</f>
        <v>1104.2413019040609</v>
      </c>
      <c r="H171" s="25">
        <f>$B171*'Walgreens National Payments'!F$22</f>
        <v>1104.2413019040609</v>
      </c>
      <c r="I171" s="25">
        <f>$B171*'Walgreens National Payments'!G$22</f>
        <v>1104.2413019040609</v>
      </c>
      <c r="J171" s="25">
        <f>$B171*'Walgreens National Payments'!H$22</f>
        <v>1104.2413019040609</v>
      </c>
      <c r="K171" s="25">
        <f>$B171*'Walgreens National Payments'!I$22</f>
        <v>1104.2413019040609</v>
      </c>
      <c r="L171" s="25">
        <f>$B171*'Walgreens National Payments'!J$22</f>
        <v>1672.9235369598011</v>
      </c>
      <c r="M171" s="25">
        <f>$B171*'Walgreens National Payments'!K$22</f>
        <v>1672.9235369598011</v>
      </c>
      <c r="N171" s="25">
        <f>$B171*'Walgreens National Payments'!L$22</f>
        <v>1672.9235369598011</v>
      </c>
      <c r="O171" s="25">
        <f>$B171*'Walgreens National Payments'!M$22</f>
        <v>1672.9235369598011</v>
      </c>
      <c r="P171" s="25">
        <f>$B171*'Walgreens National Payments'!N$22</f>
        <v>1672.9235369598011</v>
      </c>
      <c r="Q171" s="25">
        <f>$B171*'Walgreens National Payments'!O$22</f>
        <v>1672.9235369598011</v>
      </c>
      <c r="R171" s="25">
        <f>$B171*'Walgreens National Payments'!P$22</f>
        <v>1672.9235369598011</v>
      </c>
      <c r="S171" s="25">
        <f>$B171*'Walgreens National Payments'!Q$22</f>
        <v>1672.9235369598011</v>
      </c>
      <c r="T171" s="26" t="s">
        <v>346</v>
      </c>
      <c r="U171" s="26">
        <f t="shared" si="8"/>
        <v>21265.764805198716</v>
      </c>
    </row>
    <row r="172" spans="1:21" x14ac:dyDescent="0.35">
      <c r="A172" s="3" t="s">
        <v>196</v>
      </c>
      <c r="B172" s="16">
        <v>9.4422835263283285E-4</v>
      </c>
      <c r="C172" s="8" t="s">
        <v>196</v>
      </c>
      <c r="D172" s="33" t="str">
        <f t="shared" si="9"/>
        <v>No</v>
      </c>
      <c r="E172" s="25">
        <v>4616.9399999999996</v>
      </c>
      <c r="F172" s="25">
        <v>2562.39</v>
      </c>
      <c r="G172" s="25">
        <f>$B172*'Walgreens National Payments'!E$22</f>
        <v>3357.5258266094161</v>
      </c>
      <c r="H172" s="25">
        <f>$B172*'Walgreens National Payments'!F$22</f>
        <v>3357.5258266094161</v>
      </c>
      <c r="I172" s="25">
        <f>$B172*'Walgreens National Payments'!G$22</f>
        <v>3357.5258266094161</v>
      </c>
      <c r="J172" s="25">
        <f>$B172*'Walgreens National Payments'!H$22</f>
        <v>3357.5258266094161</v>
      </c>
      <c r="K172" s="25">
        <f>$B172*'Walgreens National Payments'!I$22</f>
        <v>3357.5258266094161</v>
      </c>
      <c r="L172" s="25">
        <f>$B172*'Walgreens National Payments'!J$22</f>
        <v>5086.6454384562694</v>
      </c>
      <c r="M172" s="25">
        <f>$B172*'Walgreens National Payments'!K$22</f>
        <v>5086.6454384562694</v>
      </c>
      <c r="N172" s="25">
        <f>$B172*'Walgreens National Payments'!L$22</f>
        <v>5086.6454384562694</v>
      </c>
      <c r="O172" s="25">
        <f>$B172*'Walgreens National Payments'!M$22</f>
        <v>5086.6454384562694</v>
      </c>
      <c r="P172" s="25">
        <f>$B172*'Walgreens National Payments'!N$22</f>
        <v>5086.6454384562694</v>
      </c>
      <c r="Q172" s="25">
        <f>$B172*'Walgreens National Payments'!O$22</f>
        <v>5086.6454384562694</v>
      </c>
      <c r="R172" s="25">
        <f>$B172*'Walgreens National Payments'!P$22</f>
        <v>5086.6454384562694</v>
      </c>
      <c r="S172" s="25">
        <f>$B172*'Walgreens National Payments'!Q$22</f>
        <v>5086.6454384562694</v>
      </c>
      <c r="T172" s="26" t="s">
        <v>346</v>
      </c>
      <c r="U172" s="26">
        <f t="shared" si="8"/>
        <v>64660.122640697227</v>
      </c>
    </row>
    <row r="173" spans="1:21" x14ac:dyDescent="0.35">
      <c r="A173" s="3" t="s">
        <v>90</v>
      </c>
      <c r="B173" s="16">
        <v>4.2307814899981359E-4</v>
      </c>
      <c r="C173" s="8" t="s">
        <v>197</v>
      </c>
      <c r="D173" s="33" t="str">
        <f t="shared" si="9"/>
        <v>No</v>
      </c>
      <c r="E173" s="25">
        <v>2068.6999999999998</v>
      </c>
      <c r="F173" s="25">
        <v>1148.1199999999999</v>
      </c>
      <c r="G173" s="25">
        <f>$B173*'Walgreens National Payments'!E$22</f>
        <v>1504.3986001692817</v>
      </c>
      <c r="H173" s="25">
        <f>$B173*'Walgreens National Payments'!F$22</f>
        <v>1504.3986001692817</v>
      </c>
      <c r="I173" s="25">
        <f>$B173*'Walgreens National Payments'!G$22</f>
        <v>1504.3986001692817</v>
      </c>
      <c r="J173" s="25">
        <f>$B173*'Walgreens National Payments'!H$22</f>
        <v>1504.3986001692817</v>
      </c>
      <c r="K173" s="25">
        <f>$B173*'Walgreens National Payments'!I$22</f>
        <v>1504.3986001692817</v>
      </c>
      <c r="L173" s="25">
        <f>$B173*'Walgreens National Payments'!J$22</f>
        <v>2279.1611062300485</v>
      </c>
      <c r="M173" s="25">
        <f>$B173*'Walgreens National Payments'!K$22</f>
        <v>2279.1611062300485</v>
      </c>
      <c r="N173" s="25">
        <f>$B173*'Walgreens National Payments'!L$22</f>
        <v>2279.1611062300485</v>
      </c>
      <c r="O173" s="25">
        <f>$B173*'Walgreens National Payments'!M$22</f>
        <v>2279.1611062300485</v>
      </c>
      <c r="P173" s="25">
        <f>$B173*'Walgreens National Payments'!N$22</f>
        <v>2279.1611062300485</v>
      </c>
      <c r="Q173" s="25">
        <f>$B173*'Walgreens National Payments'!O$22</f>
        <v>2279.1611062300485</v>
      </c>
      <c r="R173" s="25">
        <f>$B173*'Walgreens National Payments'!P$22</f>
        <v>2279.1611062300485</v>
      </c>
      <c r="S173" s="25">
        <f>$B173*'Walgreens National Payments'!Q$22</f>
        <v>2279.1611062300485</v>
      </c>
      <c r="T173" s="26" t="s">
        <v>346</v>
      </c>
      <c r="U173" s="26">
        <f t="shared" si="8"/>
        <v>28972.101850686791</v>
      </c>
    </row>
    <row r="174" spans="1:21" x14ac:dyDescent="0.35">
      <c r="A174" s="3" t="s">
        <v>198</v>
      </c>
      <c r="B174" s="16">
        <v>1.8064208801171536E-3</v>
      </c>
      <c r="C174" s="8" t="s">
        <v>199</v>
      </c>
      <c r="D174" s="33" t="str">
        <f t="shared" si="9"/>
        <v>No</v>
      </c>
      <c r="E174" s="25">
        <v>8832.75</v>
      </c>
      <c r="F174" s="25">
        <v>4902.1499999999996</v>
      </c>
      <c r="G174" s="25">
        <f>$B174*'Walgreens National Payments'!E$22</f>
        <v>6423.3453081643438</v>
      </c>
      <c r="H174" s="25">
        <f>$B174*'Walgreens National Payments'!F$22</f>
        <v>6423.3453081643438</v>
      </c>
      <c r="I174" s="25">
        <f>$B174*'Walgreens National Payments'!G$22</f>
        <v>6423.3453081643438</v>
      </c>
      <c r="J174" s="25">
        <f>$B174*'Walgreens National Payments'!H$22</f>
        <v>6423.3453081643438</v>
      </c>
      <c r="K174" s="25">
        <f>$B174*'Walgreens National Payments'!I$22</f>
        <v>6423.3453081643438</v>
      </c>
      <c r="L174" s="25">
        <f>$B174*'Walgreens National Payments'!J$22</f>
        <v>9731.3563018511832</v>
      </c>
      <c r="M174" s="25">
        <f>$B174*'Walgreens National Payments'!K$22</f>
        <v>9731.3563018511832</v>
      </c>
      <c r="N174" s="25">
        <f>$B174*'Walgreens National Payments'!L$22</f>
        <v>9731.3563018511832</v>
      </c>
      <c r="O174" s="25">
        <f>$B174*'Walgreens National Payments'!M$22</f>
        <v>9731.3563018511832</v>
      </c>
      <c r="P174" s="25">
        <f>$B174*'Walgreens National Payments'!N$22</f>
        <v>9731.3563018511832</v>
      </c>
      <c r="Q174" s="25">
        <f>$B174*'Walgreens National Payments'!O$22</f>
        <v>9731.3563018511832</v>
      </c>
      <c r="R174" s="25">
        <f>$B174*'Walgreens National Payments'!P$22</f>
        <v>9731.3563018511832</v>
      </c>
      <c r="S174" s="25">
        <f>$B174*'Walgreens National Payments'!Q$22</f>
        <v>9731.3563018511832</v>
      </c>
      <c r="T174" s="26" t="s">
        <v>346</v>
      </c>
      <c r="U174" s="26">
        <f t="shared" si="8"/>
        <v>123702.47695563117</v>
      </c>
    </row>
    <row r="175" spans="1:21" x14ac:dyDescent="0.35">
      <c r="A175" s="3" t="s">
        <v>200</v>
      </c>
      <c r="B175" s="16">
        <v>3.2176018624034916E-3</v>
      </c>
      <c r="C175" s="8" t="s">
        <v>200</v>
      </c>
      <c r="D175" s="33" t="str">
        <f t="shared" si="9"/>
        <v>No</v>
      </c>
      <c r="E175" s="25">
        <v>15732.92</v>
      </c>
      <c r="F175" s="25">
        <v>8731.73</v>
      </c>
      <c r="G175" s="25">
        <f>$B175*'Walgreens National Payments'!E$22</f>
        <v>11441.280409175704</v>
      </c>
      <c r="H175" s="25">
        <f>$B175*'Walgreens National Payments'!F$22</f>
        <v>11441.280409175704</v>
      </c>
      <c r="I175" s="25">
        <f>$B175*'Walgreens National Payments'!G$22</f>
        <v>11441.280409175704</v>
      </c>
      <c r="J175" s="25">
        <f>$B175*'Walgreens National Payments'!H$22</f>
        <v>11441.280409175704</v>
      </c>
      <c r="K175" s="25">
        <f>$B175*'Walgreens National Payments'!I$22</f>
        <v>11441.280409175704</v>
      </c>
      <c r="L175" s="25">
        <f>$B175*'Walgreens National Payments'!J$22</f>
        <v>17333.518730428779</v>
      </c>
      <c r="M175" s="25">
        <f>$B175*'Walgreens National Payments'!K$22</f>
        <v>17333.518730428779</v>
      </c>
      <c r="N175" s="25">
        <f>$B175*'Walgreens National Payments'!L$22</f>
        <v>17333.518730428779</v>
      </c>
      <c r="O175" s="25">
        <f>$B175*'Walgreens National Payments'!M$22</f>
        <v>17333.518730428779</v>
      </c>
      <c r="P175" s="25">
        <f>$B175*'Walgreens National Payments'!N$22</f>
        <v>17333.518730428779</v>
      </c>
      <c r="Q175" s="25">
        <f>$B175*'Walgreens National Payments'!O$22</f>
        <v>17333.518730428779</v>
      </c>
      <c r="R175" s="25">
        <f>$B175*'Walgreens National Payments'!P$22</f>
        <v>17333.518730428779</v>
      </c>
      <c r="S175" s="25">
        <f>$B175*'Walgreens National Payments'!Q$22</f>
        <v>17333.518730428779</v>
      </c>
      <c r="T175" s="26" t="s">
        <v>346</v>
      </c>
      <c r="U175" s="26">
        <f t="shared" si="8"/>
        <v>220339.20188930869</v>
      </c>
    </row>
    <row r="176" spans="1:21" x14ac:dyDescent="0.35">
      <c r="A176" s="3" t="s">
        <v>34</v>
      </c>
      <c r="B176" s="16">
        <v>3.840748936462473E-5</v>
      </c>
      <c r="C176" s="8" t="s">
        <v>201</v>
      </c>
      <c r="D176" s="33" t="str">
        <f t="shared" si="9"/>
        <v>Yes</v>
      </c>
      <c r="E176" s="25">
        <v>2779.93</v>
      </c>
      <c r="F176" s="48">
        <v>0</v>
      </c>
      <c r="G176" s="100">
        <f>$B176*'Walgreens National Payments'!E$22</f>
        <v>136.57092282537968</v>
      </c>
      <c r="H176" s="100">
        <f>$B176*'Walgreens National Payments'!F$22</f>
        <v>136.57092282537968</v>
      </c>
      <c r="I176" s="100">
        <f>$B176*'Walgreens National Payments'!G$22</f>
        <v>136.57092282537968</v>
      </c>
      <c r="J176" s="100">
        <f>$B176*'Walgreens National Payments'!H$22</f>
        <v>136.57092282537968</v>
      </c>
      <c r="K176" s="100">
        <f>$B176*'Walgreens National Payments'!I$22</f>
        <v>136.57092282537968</v>
      </c>
      <c r="L176" s="100">
        <f>$B176*'Walgreens National Payments'!J$22</f>
        <v>206.90469634213017</v>
      </c>
      <c r="M176" s="100">
        <f>$B176*'Walgreens National Payments'!K$22</f>
        <v>206.90469634213017</v>
      </c>
      <c r="N176" s="100">
        <f>$B176*'Walgreens National Payments'!L$22</f>
        <v>206.90469634213017</v>
      </c>
      <c r="O176" s="100">
        <f>$B176*'Walgreens National Payments'!M$22</f>
        <v>206.90469634213017</v>
      </c>
      <c r="P176" s="100">
        <f>$B176*'Walgreens National Payments'!N$22</f>
        <v>206.90469634213017</v>
      </c>
      <c r="Q176" s="100">
        <f>$B176*'Walgreens National Payments'!O$22</f>
        <v>206.90469634213017</v>
      </c>
      <c r="R176" s="100">
        <f>$B176*'Walgreens National Payments'!P$22</f>
        <v>206.90469634213017</v>
      </c>
      <c r="S176" s="100">
        <f>$B176*'Walgreens National Payments'!Q$22</f>
        <v>206.90469634213017</v>
      </c>
      <c r="T176" s="26" t="s">
        <v>346</v>
      </c>
      <c r="U176" s="26">
        <f t="shared" si="8"/>
        <v>5118.0221848639403</v>
      </c>
    </row>
    <row r="177" spans="1:21" x14ac:dyDescent="0.35">
      <c r="A177" s="3" t="s">
        <v>202</v>
      </c>
      <c r="B177" s="16">
        <v>5.9922724256234404E-4</v>
      </c>
      <c r="C177" s="8" t="s">
        <v>202</v>
      </c>
      <c r="D177" s="33" t="str">
        <f t="shared" si="9"/>
        <v>No</v>
      </c>
      <c r="E177" s="25">
        <v>2930.01</v>
      </c>
      <c r="F177" s="25">
        <v>1626.15</v>
      </c>
      <c r="G177" s="25">
        <f>$B177*'Walgreens National Payments'!E$22</f>
        <v>2130.7567574105233</v>
      </c>
      <c r="H177" s="25">
        <f>$B177*'Walgreens National Payments'!F$22</f>
        <v>2130.7567574105233</v>
      </c>
      <c r="I177" s="25">
        <f>$B177*'Walgreens National Payments'!G$22</f>
        <v>2130.7567574105233</v>
      </c>
      <c r="J177" s="25">
        <f>$B177*'Walgreens National Payments'!H$22</f>
        <v>2130.7567574105233</v>
      </c>
      <c r="K177" s="25">
        <f>$B177*'Walgreens National Payments'!I$22</f>
        <v>2130.7567574105233</v>
      </c>
      <c r="L177" s="25">
        <f>$B177*'Walgreens National Payments'!J$22</f>
        <v>3228.0925598976646</v>
      </c>
      <c r="M177" s="25">
        <f>$B177*'Walgreens National Payments'!K$22</f>
        <v>3228.0925598976646</v>
      </c>
      <c r="N177" s="25">
        <f>$B177*'Walgreens National Payments'!L$22</f>
        <v>3228.0925598976646</v>
      </c>
      <c r="O177" s="25">
        <f>$B177*'Walgreens National Payments'!M$22</f>
        <v>3228.0925598976646</v>
      </c>
      <c r="P177" s="25">
        <f>$B177*'Walgreens National Payments'!N$22</f>
        <v>3228.0925598976646</v>
      </c>
      <c r="Q177" s="25">
        <f>$B177*'Walgreens National Payments'!O$22</f>
        <v>3228.0925598976646</v>
      </c>
      <c r="R177" s="25">
        <f>$B177*'Walgreens National Payments'!P$22</f>
        <v>3228.0925598976646</v>
      </c>
      <c r="S177" s="25">
        <f>$B177*'Walgreens National Payments'!Q$22</f>
        <v>3228.0925598976646</v>
      </c>
      <c r="T177" s="26" t="s">
        <v>346</v>
      </c>
      <c r="U177" s="26">
        <f t="shared" si="8"/>
        <v>41034.684266233933</v>
      </c>
    </row>
    <row r="178" spans="1:21" x14ac:dyDescent="0.35">
      <c r="A178" s="3" t="s">
        <v>36</v>
      </c>
      <c r="B178" s="16">
        <v>2.6396387324336113E-5</v>
      </c>
      <c r="C178" s="8" t="s">
        <v>203</v>
      </c>
      <c r="D178" s="8" t="s">
        <v>337</v>
      </c>
      <c r="E178" s="25">
        <v>0</v>
      </c>
      <c r="F178" s="25">
        <v>0</v>
      </c>
      <c r="G178" s="25">
        <f>$B178*'Walgreens National Payments'!E$22</f>
        <v>93.861354537303043</v>
      </c>
      <c r="H178" s="25">
        <f>$B178*'Walgreens National Payments'!F$22</f>
        <v>93.861354537303043</v>
      </c>
      <c r="I178" s="25">
        <f>$B178*'Walgreens National Payments'!G$22</f>
        <v>93.861354537303043</v>
      </c>
      <c r="J178" s="25">
        <f>$B178*'Walgreens National Payments'!H$22</f>
        <v>93.861354537303043</v>
      </c>
      <c r="K178" s="25">
        <f>$B178*'Walgreens National Payments'!I$22</f>
        <v>93.861354537303043</v>
      </c>
      <c r="L178" s="25">
        <f>$B178*'Walgreens National Payments'!J$22</f>
        <v>142.19977911134626</v>
      </c>
      <c r="M178" s="25">
        <f>$B178*'Walgreens National Payments'!K$22</f>
        <v>142.19977911134626</v>
      </c>
      <c r="N178" s="25">
        <f>$B178*'Walgreens National Payments'!L$22</f>
        <v>142.19977911134626</v>
      </c>
      <c r="O178" s="25">
        <f>$B178*'Walgreens National Payments'!M$22</f>
        <v>142.19977911134626</v>
      </c>
      <c r="P178" s="25">
        <f>$B178*'Walgreens National Payments'!N$22</f>
        <v>142.19977911134626</v>
      </c>
      <c r="Q178" s="25">
        <f>$B178*'Walgreens National Payments'!O$22</f>
        <v>142.19977911134626</v>
      </c>
      <c r="R178" s="25">
        <f>$B178*'Walgreens National Payments'!P$22</f>
        <v>142.19977911134626</v>
      </c>
      <c r="S178" s="25">
        <f>$B178*'Walgreens National Payments'!Q$22</f>
        <v>142.19977911134626</v>
      </c>
      <c r="T178" s="26" t="s">
        <v>346</v>
      </c>
      <c r="U178" s="26">
        <f t="shared" si="8"/>
        <v>1606.9050055772855</v>
      </c>
    </row>
    <row r="179" spans="1:21" x14ac:dyDescent="0.35">
      <c r="A179" s="3" t="s">
        <v>45</v>
      </c>
      <c r="B179" s="16">
        <v>7.1543601524750355E-5</v>
      </c>
      <c r="C179" s="8" t="s">
        <v>204</v>
      </c>
      <c r="D179" s="8" t="s">
        <v>337</v>
      </c>
      <c r="E179" s="25">
        <v>0</v>
      </c>
      <c r="F179" s="25">
        <v>0</v>
      </c>
      <c r="G179" s="25">
        <f>$B179*'Walgreens National Payments'!E$22</f>
        <v>254.39766681249887</v>
      </c>
      <c r="H179" s="25">
        <f>$B179*'Walgreens National Payments'!F$22</f>
        <v>254.39766681249887</v>
      </c>
      <c r="I179" s="25">
        <f>$B179*'Walgreens National Payments'!G$22</f>
        <v>254.39766681249887</v>
      </c>
      <c r="J179" s="25">
        <f>$B179*'Walgreens National Payments'!H$22</f>
        <v>254.39766681249887</v>
      </c>
      <c r="K179" s="25">
        <f>$B179*'Walgreens National Payments'!I$22</f>
        <v>254.39766681249887</v>
      </c>
      <c r="L179" s="25">
        <f>$B179*'Walgreens National Payments'!J$22</f>
        <v>385.41199629504774</v>
      </c>
      <c r="M179" s="25">
        <f>$B179*'Walgreens National Payments'!K$22</f>
        <v>385.41199629504774</v>
      </c>
      <c r="N179" s="25">
        <f>$B179*'Walgreens National Payments'!L$22</f>
        <v>385.41199629504774</v>
      </c>
      <c r="O179" s="25">
        <f>$B179*'Walgreens National Payments'!M$22</f>
        <v>385.41199629504774</v>
      </c>
      <c r="P179" s="25">
        <f>$B179*'Walgreens National Payments'!N$22</f>
        <v>385.41199629504774</v>
      </c>
      <c r="Q179" s="25">
        <f>$B179*'Walgreens National Payments'!O$22</f>
        <v>385.41199629504774</v>
      </c>
      <c r="R179" s="25">
        <f>$B179*'Walgreens National Payments'!P$22</f>
        <v>385.41199629504774</v>
      </c>
      <c r="S179" s="25">
        <f>$B179*'Walgreens National Payments'!Q$22</f>
        <v>385.41199629504774</v>
      </c>
      <c r="T179" s="26" t="s">
        <v>346</v>
      </c>
      <c r="U179" s="26">
        <f t="shared" si="8"/>
        <v>4355.2843044228757</v>
      </c>
    </row>
    <row r="180" spans="1:21" x14ac:dyDescent="0.35">
      <c r="A180" s="3" t="s">
        <v>45</v>
      </c>
      <c r="B180" s="16">
        <v>1.256002277532938E-3</v>
      </c>
      <c r="C180" s="8" t="s">
        <v>205</v>
      </c>
      <c r="D180" s="33" t="str">
        <f t="shared" ref="D180:D202" si="10">IF(B180&lt;0.000083,"Yes","No")</f>
        <v>No</v>
      </c>
      <c r="E180" s="25">
        <v>6141.4</v>
      </c>
      <c r="F180" s="25">
        <v>3408.46</v>
      </c>
      <c r="G180" s="25">
        <f>$B180*'Walgreens National Payments'!E$22</f>
        <v>4466.1443106834013</v>
      </c>
      <c r="H180" s="25">
        <f>$B180*'Walgreens National Payments'!F$22</f>
        <v>4466.1443106834013</v>
      </c>
      <c r="I180" s="25">
        <f>$B180*'Walgreens National Payments'!G$22</f>
        <v>4466.1443106834013</v>
      </c>
      <c r="J180" s="25">
        <f>$B180*'Walgreens National Payments'!H$22</f>
        <v>4466.1443106834013</v>
      </c>
      <c r="K180" s="25">
        <f>$B180*'Walgreens National Payments'!I$22</f>
        <v>4466.1443106834013</v>
      </c>
      <c r="L180" s="25">
        <f>$B180*'Walgreens National Payments'!J$22</f>
        <v>6766.2003983351378</v>
      </c>
      <c r="M180" s="25">
        <f>$B180*'Walgreens National Payments'!K$22</f>
        <v>6766.2003983351378</v>
      </c>
      <c r="N180" s="25">
        <f>$B180*'Walgreens National Payments'!L$22</f>
        <v>6766.2003983351378</v>
      </c>
      <c r="O180" s="25">
        <f>$B180*'Walgreens National Payments'!M$22</f>
        <v>6766.2003983351378</v>
      </c>
      <c r="P180" s="25">
        <f>$B180*'Walgreens National Payments'!N$22</f>
        <v>6766.2003983351378</v>
      </c>
      <c r="Q180" s="25">
        <f>$B180*'Walgreens National Payments'!O$22</f>
        <v>6766.2003983351378</v>
      </c>
      <c r="R180" s="25">
        <f>$B180*'Walgreens National Payments'!P$22</f>
        <v>6766.2003983351378</v>
      </c>
      <c r="S180" s="25">
        <f>$B180*'Walgreens National Payments'!Q$22</f>
        <v>6766.2003983351378</v>
      </c>
      <c r="T180" s="26" t="s">
        <v>346</v>
      </c>
      <c r="U180" s="26">
        <f t="shared" si="8"/>
        <v>86010.184740098091</v>
      </c>
    </row>
    <row r="181" spans="1:21" x14ac:dyDescent="0.35">
      <c r="A181" s="3" t="s">
        <v>45</v>
      </c>
      <c r="B181" s="16">
        <v>1.7154393930240004E-2</v>
      </c>
      <c r="C181" s="8" t="s">
        <v>45</v>
      </c>
      <c r="D181" s="33" t="str">
        <f t="shared" si="10"/>
        <v>No</v>
      </c>
      <c r="E181" s="25">
        <v>89057.15</v>
      </c>
      <c r="F181" s="25">
        <v>46552.52</v>
      </c>
      <c r="G181" s="25">
        <f>$B181*'Walgreens National Payments'!E$22</f>
        <v>60998.296121922518</v>
      </c>
      <c r="H181" s="25">
        <f>$B181*'Walgreens National Payments'!F$22</f>
        <v>60998.296121922518</v>
      </c>
      <c r="I181" s="25">
        <f>$B181*'Walgreens National Payments'!G$22</f>
        <v>60998.296121922518</v>
      </c>
      <c r="J181" s="25">
        <f>$B181*'Walgreens National Payments'!H$22</f>
        <v>60998.296121922518</v>
      </c>
      <c r="K181" s="25">
        <f>$B181*'Walgreens National Payments'!I$22</f>
        <v>60998.296121922518</v>
      </c>
      <c r="L181" s="25">
        <f>$B181*'Walgreens National Payments'!J$22</f>
        <v>92412.306187831666</v>
      </c>
      <c r="M181" s="25">
        <f>$B181*'Walgreens National Payments'!K$22</f>
        <v>92412.306187831666</v>
      </c>
      <c r="N181" s="25">
        <f>$B181*'Walgreens National Payments'!L$22</f>
        <v>92412.306187831666</v>
      </c>
      <c r="O181" s="25">
        <f>$B181*'Walgreens National Payments'!M$22</f>
        <v>92412.306187831666</v>
      </c>
      <c r="P181" s="25">
        <f>$B181*'Walgreens National Payments'!N$22</f>
        <v>92412.306187831666</v>
      </c>
      <c r="Q181" s="25">
        <f>$B181*'Walgreens National Payments'!O$22</f>
        <v>92412.306187831666</v>
      </c>
      <c r="R181" s="25">
        <f>$B181*'Walgreens National Payments'!P$22</f>
        <v>92412.306187831666</v>
      </c>
      <c r="S181" s="25">
        <f>$B181*'Walgreens National Payments'!Q$22</f>
        <v>92412.306187831666</v>
      </c>
      <c r="T181" s="26" t="s">
        <v>346</v>
      </c>
      <c r="U181" s="26">
        <f t="shared" si="8"/>
        <v>1179899.6001122657</v>
      </c>
    </row>
    <row r="182" spans="1:21" x14ac:dyDescent="0.35">
      <c r="A182" s="3" t="s">
        <v>206</v>
      </c>
      <c r="B182" s="16">
        <v>6.9578341280000008E-3</v>
      </c>
      <c r="C182" s="8" t="s">
        <v>206</v>
      </c>
      <c r="D182" s="33" t="str">
        <f t="shared" si="10"/>
        <v>No</v>
      </c>
      <c r="E182" s="25">
        <v>34021.31</v>
      </c>
      <c r="F182" s="25">
        <v>18881.73</v>
      </c>
      <c r="G182" s="25">
        <f>$B182*'Walgreens National Payments'!E$22</f>
        <v>24740.951398976336</v>
      </c>
      <c r="H182" s="25">
        <f>$B182*'Walgreens National Payments'!F$22</f>
        <v>24740.951398976336</v>
      </c>
      <c r="I182" s="25">
        <f>$B182*'Walgreens National Payments'!G$22</f>
        <v>24740.951398976336</v>
      </c>
      <c r="J182" s="25">
        <f>$B182*'Walgreens National Payments'!H$22</f>
        <v>24740.951398976336</v>
      </c>
      <c r="K182" s="25">
        <f>$B182*'Walgreens National Payments'!I$22</f>
        <v>24740.951398976336</v>
      </c>
      <c r="L182" s="25">
        <f>$B182*'Walgreens National Payments'!J$22</f>
        <v>37482.495764971907</v>
      </c>
      <c r="M182" s="25">
        <f>$B182*'Walgreens National Payments'!K$22</f>
        <v>37482.495764971907</v>
      </c>
      <c r="N182" s="25">
        <f>$B182*'Walgreens National Payments'!L$22</f>
        <v>37482.495764971907</v>
      </c>
      <c r="O182" s="25">
        <f>$B182*'Walgreens National Payments'!M$22</f>
        <v>37482.495764971907</v>
      </c>
      <c r="P182" s="25">
        <f>$B182*'Walgreens National Payments'!N$22</f>
        <v>37482.495764971907</v>
      </c>
      <c r="Q182" s="25">
        <f>$B182*'Walgreens National Payments'!O$22</f>
        <v>37482.495764971907</v>
      </c>
      <c r="R182" s="25">
        <f>$B182*'Walgreens National Payments'!P$22</f>
        <v>37482.495764971907</v>
      </c>
      <c r="S182" s="25">
        <f>$B182*'Walgreens National Payments'!Q$22</f>
        <v>37482.495764971907</v>
      </c>
      <c r="T182" s="26" t="s">
        <v>346</v>
      </c>
      <c r="U182" s="26">
        <f t="shared" si="8"/>
        <v>476467.76311465679</v>
      </c>
    </row>
    <row r="183" spans="1:21" x14ac:dyDescent="0.35">
      <c r="A183" s="3" t="s">
        <v>207</v>
      </c>
      <c r="B183" s="16">
        <v>9.8584816064000011E-4</v>
      </c>
      <c r="C183" s="8" t="s">
        <v>207</v>
      </c>
      <c r="D183" s="33" t="str">
        <f t="shared" si="10"/>
        <v>No</v>
      </c>
      <c r="E183" s="25">
        <v>4820.4399999999996</v>
      </c>
      <c r="F183" s="25">
        <v>2675.33</v>
      </c>
      <c r="G183" s="25">
        <f>$B183*'Walgreens National Payments'!E$22</f>
        <v>3505.5192435545305</v>
      </c>
      <c r="H183" s="25">
        <f>$B183*'Walgreens National Payments'!F$22</f>
        <v>3505.5192435545305</v>
      </c>
      <c r="I183" s="25">
        <f>$B183*'Walgreens National Payments'!G$22</f>
        <v>3505.5192435545305</v>
      </c>
      <c r="J183" s="25">
        <f>$B183*'Walgreens National Payments'!H$22</f>
        <v>3505.5192435545305</v>
      </c>
      <c r="K183" s="25">
        <f>$B183*'Walgreens National Payments'!I$22</f>
        <v>3505.5192435545305</v>
      </c>
      <c r="L183" s="25">
        <f>$B183*'Walgreens National Payments'!J$22</f>
        <v>5310.8551923349542</v>
      </c>
      <c r="M183" s="25">
        <f>$B183*'Walgreens National Payments'!K$22</f>
        <v>5310.8551923349542</v>
      </c>
      <c r="N183" s="25">
        <f>$B183*'Walgreens National Payments'!L$22</f>
        <v>5310.8551923349542</v>
      </c>
      <c r="O183" s="25">
        <f>$B183*'Walgreens National Payments'!M$22</f>
        <v>5310.8551923349542</v>
      </c>
      <c r="P183" s="25">
        <f>$B183*'Walgreens National Payments'!N$22</f>
        <v>5310.8551923349542</v>
      </c>
      <c r="Q183" s="25">
        <f>$B183*'Walgreens National Payments'!O$22</f>
        <v>5310.8551923349542</v>
      </c>
      <c r="R183" s="25">
        <f>$B183*'Walgreens National Payments'!P$22</f>
        <v>5310.8551923349542</v>
      </c>
      <c r="S183" s="25">
        <f>$B183*'Walgreens National Payments'!Q$22</f>
        <v>5310.8551923349542</v>
      </c>
      <c r="T183" s="26" t="s">
        <v>346</v>
      </c>
      <c r="U183" s="26">
        <f t="shared" si="8"/>
        <v>67510.207756452277</v>
      </c>
    </row>
    <row r="184" spans="1:21" x14ac:dyDescent="0.35">
      <c r="A184" s="3" t="s">
        <v>75</v>
      </c>
      <c r="B184" s="16">
        <v>3.0056747918547061E-4</v>
      </c>
      <c r="C184" s="8" t="s">
        <v>208</v>
      </c>
      <c r="D184" s="33" t="str">
        <f t="shared" si="10"/>
        <v>No</v>
      </c>
      <c r="E184" s="25">
        <v>1469.67</v>
      </c>
      <c r="F184" s="25">
        <v>815.66</v>
      </c>
      <c r="G184" s="25">
        <f>$B184*'Walgreens National Payments'!E$22</f>
        <v>1068.7701456858529</v>
      </c>
      <c r="H184" s="25">
        <f>$B184*'Walgreens National Payments'!F$22</f>
        <v>1068.7701456858529</v>
      </c>
      <c r="I184" s="25">
        <f>$B184*'Walgreens National Payments'!G$22</f>
        <v>1068.7701456858529</v>
      </c>
      <c r="J184" s="25">
        <f>$B184*'Walgreens National Payments'!H$22</f>
        <v>1068.7701456858529</v>
      </c>
      <c r="K184" s="25">
        <f>$B184*'Walgreens National Payments'!I$22</f>
        <v>1068.7701456858529</v>
      </c>
      <c r="L184" s="25">
        <f>$B184*'Walgreens National Payments'!J$22</f>
        <v>1619.1848006724549</v>
      </c>
      <c r="M184" s="25">
        <f>$B184*'Walgreens National Payments'!K$22</f>
        <v>1619.1848006724549</v>
      </c>
      <c r="N184" s="25">
        <f>$B184*'Walgreens National Payments'!L$22</f>
        <v>1619.1848006724549</v>
      </c>
      <c r="O184" s="25">
        <f>$B184*'Walgreens National Payments'!M$22</f>
        <v>1619.1848006724549</v>
      </c>
      <c r="P184" s="25">
        <f>$B184*'Walgreens National Payments'!N$22</f>
        <v>1619.1848006724549</v>
      </c>
      <c r="Q184" s="25">
        <f>$B184*'Walgreens National Payments'!O$22</f>
        <v>1619.1848006724549</v>
      </c>
      <c r="R184" s="25">
        <f>$B184*'Walgreens National Payments'!P$22</f>
        <v>1619.1848006724549</v>
      </c>
      <c r="S184" s="25">
        <f>$B184*'Walgreens National Payments'!Q$22</f>
        <v>1619.1848006724549</v>
      </c>
      <c r="T184" s="26" t="s">
        <v>346</v>
      </c>
      <c r="U184" s="26">
        <f t="shared" si="8"/>
        <v>20582.659133808898</v>
      </c>
    </row>
    <row r="185" spans="1:21" x14ac:dyDescent="0.35">
      <c r="A185" s="3" t="s">
        <v>63</v>
      </c>
      <c r="B185" s="16">
        <v>1.4878159422548442E-4</v>
      </c>
      <c r="C185" s="8" t="s">
        <v>209</v>
      </c>
      <c r="D185" s="33" t="str">
        <f t="shared" si="10"/>
        <v>No</v>
      </c>
      <c r="E185" s="25">
        <v>727.49</v>
      </c>
      <c r="F185" s="25">
        <v>403.75</v>
      </c>
      <c r="G185" s="25">
        <f>$B185*'Walgreens National Payments'!E$22</f>
        <v>529.04368285839189</v>
      </c>
      <c r="H185" s="25">
        <f>$B185*'Walgreens National Payments'!F$22</f>
        <v>529.04368285839189</v>
      </c>
      <c r="I185" s="25">
        <f>$B185*'Walgreens National Payments'!G$22</f>
        <v>529.04368285839189</v>
      </c>
      <c r="J185" s="25">
        <f>$B185*'Walgreens National Payments'!H$22</f>
        <v>529.04368285839189</v>
      </c>
      <c r="K185" s="25">
        <f>$B185*'Walgreens National Payments'!I$22</f>
        <v>529.04368285839189</v>
      </c>
      <c r="L185" s="25">
        <f>$B185*'Walgreens National Payments'!J$22</f>
        <v>801.50020435532986</v>
      </c>
      <c r="M185" s="25">
        <f>$B185*'Walgreens National Payments'!K$22</f>
        <v>801.50020435532986</v>
      </c>
      <c r="N185" s="25">
        <f>$B185*'Walgreens National Payments'!L$22</f>
        <v>801.50020435532986</v>
      </c>
      <c r="O185" s="25">
        <f>$B185*'Walgreens National Payments'!M$22</f>
        <v>801.50020435532986</v>
      </c>
      <c r="P185" s="25">
        <f>$B185*'Walgreens National Payments'!N$22</f>
        <v>801.50020435532986</v>
      </c>
      <c r="Q185" s="25">
        <f>$B185*'Walgreens National Payments'!O$22</f>
        <v>801.50020435532986</v>
      </c>
      <c r="R185" s="25">
        <f>$B185*'Walgreens National Payments'!P$22</f>
        <v>801.50020435532986</v>
      </c>
      <c r="S185" s="25">
        <f>$B185*'Walgreens National Payments'!Q$22</f>
        <v>801.50020435532986</v>
      </c>
      <c r="T185" s="26" t="s">
        <v>346</v>
      </c>
      <c r="U185" s="26">
        <f t="shared" si="8"/>
        <v>10188.460049134599</v>
      </c>
    </row>
    <row r="186" spans="1:21" x14ac:dyDescent="0.35">
      <c r="A186" s="3" t="s">
        <v>168</v>
      </c>
      <c r="B186" s="16">
        <v>2.1378856446827648E-4</v>
      </c>
      <c r="C186" s="8" t="s">
        <v>210</v>
      </c>
      <c r="D186" s="33" t="str">
        <f t="shared" si="10"/>
        <v>No</v>
      </c>
      <c r="E186" s="25">
        <v>1045.3499999999999</v>
      </c>
      <c r="F186" s="25">
        <v>580.16999999999996</v>
      </c>
      <c r="G186" s="25">
        <f>$B186*'Walgreens National Payments'!E$22</f>
        <v>760.19812859306307</v>
      </c>
      <c r="H186" s="25">
        <f>$B186*'Walgreens National Payments'!F$22</f>
        <v>760.19812859306307</v>
      </c>
      <c r="I186" s="25">
        <f>$B186*'Walgreens National Payments'!G$22</f>
        <v>760.19812859306307</v>
      </c>
      <c r="J186" s="25">
        <f>$B186*'Walgreens National Payments'!H$22</f>
        <v>760.19812859306307</v>
      </c>
      <c r="K186" s="25">
        <f>$B186*'Walgreens National Payments'!I$22</f>
        <v>760.19812859306307</v>
      </c>
      <c r="L186" s="25">
        <f>$B186*'Walgreens National Payments'!J$22</f>
        <v>1151.6987635612109</v>
      </c>
      <c r="M186" s="25">
        <f>$B186*'Walgreens National Payments'!K$22</f>
        <v>1151.6987635612109</v>
      </c>
      <c r="N186" s="25">
        <f>$B186*'Walgreens National Payments'!L$22</f>
        <v>1151.6987635612109</v>
      </c>
      <c r="O186" s="25">
        <f>$B186*'Walgreens National Payments'!M$22</f>
        <v>1151.6987635612109</v>
      </c>
      <c r="P186" s="25">
        <f>$B186*'Walgreens National Payments'!N$22</f>
        <v>1151.6987635612109</v>
      </c>
      <c r="Q186" s="25">
        <f>$B186*'Walgreens National Payments'!O$22</f>
        <v>1151.6987635612109</v>
      </c>
      <c r="R186" s="25">
        <f>$B186*'Walgreens National Payments'!P$22</f>
        <v>1151.6987635612109</v>
      </c>
      <c r="S186" s="25">
        <f>$B186*'Walgreens National Payments'!Q$22</f>
        <v>1151.6987635612109</v>
      </c>
      <c r="T186" s="26" t="s">
        <v>346</v>
      </c>
      <c r="U186" s="26">
        <f t="shared" si="8"/>
        <v>14640.100751455006</v>
      </c>
    </row>
    <row r="187" spans="1:21" x14ac:dyDescent="0.35">
      <c r="A187" s="3" t="s">
        <v>63</v>
      </c>
      <c r="B187" s="16">
        <v>9.0106553717547258E-5</v>
      </c>
      <c r="C187" s="8" t="s">
        <v>211</v>
      </c>
      <c r="D187" s="33" t="str">
        <f t="shared" si="10"/>
        <v>No</v>
      </c>
      <c r="E187" s="25">
        <v>440.59</v>
      </c>
      <c r="F187" s="25">
        <v>244.53</v>
      </c>
      <c r="G187" s="25">
        <f>$B187*'Walgreens National Payments'!E$22</f>
        <v>320.4045720612624</v>
      </c>
      <c r="H187" s="25">
        <f>$B187*'Walgreens National Payments'!F$22</f>
        <v>320.4045720612624</v>
      </c>
      <c r="I187" s="25">
        <f>$B187*'Walgreens National Payments'!G$22</f>
        <v>320.4045720612624</v>
      </c>
      <c r="J187" s="25">
        <f>$B187*'Walgreens National Payments'!H$22</f>
        <v>320.4045720612624</v>
      </c>
      <c r="K187" s="25">
        <f>$B187*'Walgreens National Payments'!I$22</f>
        <v>320.4045720612624</v>
      </c>
      <c r="L187" s="25">
        <f>$B187*'Walgreens National Payments'!J$22</f>
        <v>485.41233607777934</v>
      </c>
      <c r="M187" s="25">
        <f>$B187*'Walgreens National Payments'!K$22</f>
        <v>485.41233607777934</v>
      </c>
      <c r="N187" s="25">
        <f>$B187*'Walgreens National Payments'!L$22</f>
        <v>485.41233607777934</v>
      </c>
      <c r="O187" s="25">
        <f>$B187*'Walgreens National Payments'!M$22</f>
        <v>485.41233607777934</v>
      </c>
      <c r="P187" s="25">
        <f>$B187*'Walgreens National Payments'!N$22</f>
        <v>485.41233607777934</v>
      </c>
      <c r="Q187" s="25">
        <f>$B187*'Walgreens National Payments'!O$22</f>
        <v>485.41233607777934</v>
      </c>
      <c r="R187" s="25">
        <f>$B187*'Walgreens National Payments'!P$22</f>
        <v>485.41233607777934</v>
      </c>
      <c r="S187" s="25">
        <f>$B187*'Walgreens National Payments'!Q$22</f>
        <v>485.41233607777934</v>
      </c>
      <c r="T187" s="26" t="s">
        <v>346</v>
      </c>
      <c r="U187" s="26">
        <f t="shared" si="8"/>
        <v>6170.4415489285466</v>
      </c>
    </row>
    <row r="188" spans="1:21" x14ac:dyDescent="0.35">
      <c r="A188" s="3" t="s">
        <v>105</v>
      </c>
      <c r="B188" s="16">
        <v>2.1563493333176328E-4</v>
      </c>
      <c r="C188" s="8" t="s">
        <v>212</v>
      </c>
      <c r="D188" s="33" t="str">
        <f t="shared" si="10"/>
        <v>No</v>
      </c>
      <c r="E188" s="25">
        <v>1054.3800000000001</v>
      </c>
      <c r="F188" s="25">
        <v>585.17999999999995</v>
      </c>
      <c r="G188" s="25">
        <f>$B188*'Walgreens National Payments'!E$22</f>
        <v>766.76352257569329</v>
      </c>
      <c r="H188" s="25">
        <f>$B188*'Walgreens National Payments'!F$22</f>
        <v>766.76352257569329</v>
      </c>
      <c r="I188" s="25">
        <f>$B188*'Walgreens National Payments'!G$22</f>
        <v>766.76352257569329</v>
      </c>
      <c r="J188" s="25">
        <f>$B188*'Walgreens National Payments'!H$22</f>
        <v>766.76352257569329</v>
      </c>
      <c r="K188" s="25">
        <f>$B188*'Walgreens National Payments'!I$22</f>
        <v>766.76352257569329</v>
      </c>
      <c r="L188" s="25">
        <f>$B188*'Walgreens National Payments'!J$22</f>
        <v>1161.6453233430425</v>
      </c>
      <c r="M188" s="25">
        <f>$B188*'Walgreens National Payments'!K$22</f>
        <v>1161.6453233430425</v>
      </c>
      <c r="N188" s="25">
        <f>$B188*'Walgreens National Payments'!L$22</f>
        <v>1161.6453233430425</v>
      </c>
      <c r="O188" s="25">
        <f>$B188*'Walgreens National Payments'!M$22</f>
        <v>1161.6453233430425</v>
      </c>
      <c r="P188" s="25">
        <f>$B188*'Walgreens National Payments'!N$22</f>
        <v>1161.6453233430425</v>
      </c>
      <c r="Q188" s="25">
        <f>$B188*'Walgreens National Payments'!O$22</f>
        <v>1161.6453233430425</v>
      </c>
      <c r="R188" s="25">
        <f>$B188*'Walgreens National Payments'!P$22</f>
        <v>1161.6453233430425</v>
      </c>
      <c r="S188" s="25">
        <f>$B188*'Walgreens National Payments'!Q$22</f>
        <v>1161.6453233430425</v>
      </c>
      <c r="T188" s="26" t="s">
        <v>346</v>
      </c>
      <c r="U188" s="26">
        <f t="shared" si="8"/>
        <v>14766.540199622803</v>
      </c>
    </row>
    <row r="189" spans="1:21" x14ac:dyDescent="0.35">
      <c r="A189" s="3" t="s">
        <v>105</v>
      </c>
      <c r="B189" s="16">
        <v>1.0446192327570199E-3</v>
      </c>
      <c r="C189" s="8" t="s">
        <v>213</v>
      </c>
      <c r="D189" s="33" t="str">
        <f t="shared" si="10"/>
        <v>No</v>
      </c>
      <c r="E189" s="25">
        <v>5107.8100000000004</v>
      </c>
      <c r="F189" s="25">
        <v>2834.82</v>
      </c>
      <c r="G189" s="25">
        <f>$B189*'Walgreens National Payments'!E$22</f>
        <v>3714.4998274781201</v>
      </c>
      <c r="H189" s="25">
        <f>$B189*'Walgreens National Payments'!F$22</f>
        <v>3714.4998274781201</v>
      </c>
      <c r="I189" s="25">
        <f>$B189*'Walgreens National Payments'!G$22</f>
        <v>3714.4998274781201</v>
      </c>
      <c r="J189" s="25">
        <f>$B189*'Walgreens National Payments'!H$22</f>
        <v>3714.4998274781201</v>
      </c>
      <c r="K189" s="25">
        <f>$B189*'Walgreens National Payments'!I$22</f>
        <v>3714.4998274781201</v>
      </c>
      <c r="L189" s="25">
        <f>$B189*'Walgreens National Payments'!J$22</f>
        <v>5627.4603917696613</v>
      </c>
      <c r="M189" s="25">
        <f>$B189*'Walgreens National Payments'!K$22</f>
        <v>5627.4603917696613</v>
      </c>
      <c r="N189" s="25">
        <f>$B189*'Walgreens National Payments'!L$22</f>
        <v>5627.4603917696613</v>
      </c>
      <c r="O189" s="25">
        <f>$B189*'Walgreens National Payments'!M$22</f>
        <v>5627.4603917696613</v>
      </c>
      <c r="P189" s="25">
        <f>$B189*'Walgreens National Payments'!N$22</f>
        <v>5627.4603917696613</v>
      </c>
      <c r="Q189" s="25">
        <f>$B189*'Walgreens National Payments'!O$22</f>
        <v>5627.4603917696613</v>
      </c>
      <c r="R189" s="25">
        <f>$B189*'Walgreens National Payments'!P$22</f>
        <v>5627.4603917696613</v>
      </c>
      <c r="S189" s="25">
        <f>$B189*'Walgreens National Payments'!Q$22</f>
        <v>5627.4603917696613</v>
      </c>
      <c r="T189" s="26" t="s">
        <v>346</v>
      </c>
      <c r="U189" s="26">
        <f t="shared" si="8"/>
        <v>71534.812271547897</v>
      </c>
    </row>
    <row r="190" spans="1:21" x14ac:dyDescent="0.35">
      <c r="A190" s="3" t="s">
        <v>105</v>
      </c>
      <c r="B190" s="16">
        <v>1.9100374032320001E-2</v>
      </c>
      <c r="C190" s="8" t="s">
        <v>105</v>
      </c>
      <c r="D190" s="33" t="str">
        <f t="shared" si="10"/>
        <v>No</v>
      </c>
      <c r="E190" s="25">
        <v>93393.97</v>
      </c>
      <c r="F190" s="25">
        <v>51833.4</v>
      </c>
      <c r="G190" s="25">
        <f>$B190*'Walgreens National Payments'!E$22</f>
        <v>67917.891824152262</v>
      </c>
      <c r="H190" s="25">
        <f>$B190*'Walgreens National Payments'!F$22</f>
        <v>67917.891824152262</v>
      </c>
      <c r="I190" s="25">
        <f>$B190*'Walgreens National Payments'!G$22</f>
        <v>67917.891824152262</v>
      </c>
      <c r="J190" s="25">
        <f>$B190*'Walgreens National Payments'!H$22</f>
        <v>67917.891824152262</v>
      </c>
      <c r="K190" s="25">
        <f>$B190*'Walgreens National Payments'!I$22</f>
        <v>67917.891824152262</v>
      </c>
      <c r="L190" s="25">
        <f>$B190*'Walgreens National Payments'!J$22</f>
        <v>102895.48092196397</v>
      </c>
      <c r="M190" s="25">
        <f>$B190*'Walgreens National Payments'!K$22</f>
        <v>102895.48092196397</v>
      </c>
      <c r="N190" s="25">
        <f>$B190*'Walgreens National Payments'!L$22</f>
        <v>102895.48092196397</v>
      </c>
      <c r="O190" s="25">
        <f>$B190*'Walgreens National Payments'!M$22</f>
        <v>102895.48092196397</v>
      </c>
      <c r="P190" s="25">
        <f>$B190*'Walgreens National Payments'!N$22</f>
        <v>102895.48092196397</v>
      </c>
      <c r="Q190" s="25">
        <f>$B190*'Walgreens National Payments'!O$22</f>
        <v>102895.48092196397</v>
      </c>
      <c r="R190" s="25">
        <f>$B190*'Walgreens National Payments'!P$22</f>
        <v>102895.48092196397</v>
      </c>
      <c r="S190" s="25">
        <f>$B190*'Walgreens National Payments'!Q$22</f>
        <v>102895.48092196397</v>
      </c>
      <c r="T190" s="26" t="s">
        <v>346</v>
      </c>
      <c r="U190" s="26">
        <f t="shared" si="8"/>
        <v>1307980.6764964729</v>
      </c>
    </row>
    <row r="191" spans="1:21" x14ac:dyDescent="0.35">
      <c r="A191" s="3" t="s">
        <v>105</v>
      </c>
      <c r="B191" s="16">
        <v>2.9904211561436055E-4</v>
      </c>
      <c r="C191" s="8" t="s">
        <v>214</v>
      </c>
      <c r="D191" s="33" t="str">
        <f t="shared" si="10"/>
        <v>No</v>
      </c>
      <c r="E191" s="25">
        <v>1462.21</v>
      </c>
      <c r="F191" s="25">
        <v>811.52</v>
      </c>
      <c r="G191" s="25">
        <f>$B191*'Walgreens National Payments'!E$22</f>
        <v>1063.3461954616398</v>
      </c>
      <c r="H191" s="25">
        <f>$B191*'Walgreens National Payments'!F$22</f>
        <v>1063.3461954616398</v>
      </c>
      <c r="I191" s="25">
        <f>$B191*'Walgreens National Payments'!G$22</f>
        <v>1063.3461954616398</v>
      </c>
      <c r="J191" s="25">
        <f>$B191*'Walgreens National Payments'!H$22</f>
        <v>1063.3461954616398</v>
      </c>
      <c r="K191" s="25">
        <f>$B191*'Walgreens National Payments'!I$22</f>
        <v>1063.3461954616398</v>
      </c>
      <c r="L191" s="25">
        <f>$B191*'Walgreens National Payments'!J$22</f>
        <v>1610.9675260806257</v>
      </c>
      <c r="M191" s="25">
        <f>$B191*'Walgreens National Payments'!K$22</f>
        <v>1610.9675260806257</v>
      </c>
      <c r="N191" s="25">
        <f>$B191*'Walgreens National Payments'!L$22</f>
        <v>1610.9675260806257</v>
      </c>
      <c r="O191" s="25">
        <f>$B191*'Walgreens National Payments'!M$22</f>
        <v>1610.9675260806257</v>
      </c>
      <c r="P191" s="25">
        <f>$B191*'Walgreens National Payments'!N$22</f>
        <v>1610.9675260806257</v>
      </c>
      <c r="Q191" s="25">
        <f>$B191*'Walgreens National Payments'!O$22</f>
        <v>1610.9675260806257</v>
      </c>
      <c r="R191" s="25">
        <f>$B191*'Walgreens National Payments'!P$22</f>
        <v>1610.9675260806257</v>
      </c>
      <c r="S191" s="25">
        <f>$B191*'Walgreens National Payments'!Q$22</f>
        <v>1610.9675260806257</v>
      </c>
      <c r="T191" s="26" t="s">
        <v>346</v>
      </c>
      <c r="U191" s="26">
        <f t="shared" si="8"/>
        <v>20478.201185953203</v>
      </c>
    </row>
    <row r="192" spans="1:21" x14ac:dyDescent="0.35">
      <c r="A192" s="3" t="s">
        <v>75</v>
      </c>
      <c r="B192" s="16">
        <v>2.8708523658912223E-4</v>
      </c>
      <c r="C192" s="8" t="s">
        <v>215</v>
      </c>
      <c r="D192" s="33" t="str">
        <f t="shared" si="10"/>
        <v>No</v>
      </c>
      <c r="E192" s="25">
        <v>1403.74</v>
      </c>
      <c r="F192" s="25">
        <v>779.07</v>
      </c>
      <c r="G192" s="25">
        <f>$B192*'Walgreens National Payments'!E$22</f>
        <v>1020.8294355900023</v>
      </c>
      <c r="H192" s="25">
        <f>$B192*'Walgreens National Payments'!F$22</f>
        <v>1020.8294355900023</v>
      </c>
      <c r="I192" s="25">
        <f>$B192*'Walgreens National Payments'!G$22</f>
        <v>1020.8294355900023</v>
      </c>
      <c r="J192" s="25">
        <f>$B192*'Walgreens National Payments'!H$22</f>
        <v>1020.8294355900023</v>
      </c>
      <c r="K192" s="25">
        <f>$B192*'Walgreens National Payments'!I$22</f>
        <v>1020.8294355900023</v>
      </c>
      <c r="L192" s="25">
        <f>$B192*'Walgreens National Payments'!J$22</f>
        <v>1546.5547132453473</v>
      </c>
      <c r="M192" s="25">
        <f>$B192*'Walgreens National Payments'!K$22</f>
        <v>1546.5547132453473</v>
      </c>
      <c r="N192" s="25">
        <f>$B192*'Walgreens National Payments'!L$22</f>
        <v>1546.5547132453473</v>
      </c>
      <c r="O192" s="25">
        <f>$B192*'Walgreens National Payments'!M$22</f>
        <v>1546.5547132453473</v>
      </c>
      <c r="P192" s="25">
        <f>$B192*'Walgreens National Payments'!N$22</f>
        <v>1546.5547132453473</v>
      </c>
      <c r="Q192" s="25">
        <f>$B192*'Walgreens National Payments'!O$22</f>
        <v>1546.5547132453473</v>
      </c>
      <c r="R192" s="25">
        <f>$B192*'Walgreens National Payments'!P$22</f>
        <v>1546.5547132453473</v>
      </c>
      <c r="S192" s="25">
        <f>$B192*'Walgreens National Payments'!Q$22</f>
        <v>1546.5547132453473</v>
      </c>
      <c r="T192" s="26" t="s">
        <v>346</v>
      </c>
      <c r="U192" s="26">
        <f t="shared" si="8"/>
        <v>19659.394883912788</v>
      </c>
    </row>
    <row r="193" spans="1:21" x14ac:dyDescent="0.35">
      <c r="A193" s="3" t="s">
        <v>216</v>
      </c>
      <c r="B193" s="16">
        <v>5.2318127209600006E-3</v>
      </c>
      <c r="C193" s="8" t="s">
        <v>216</v>
      </c>
      <c r="D193" s="33" t="str">
        <f t="shared" si="10"/>
        <v>No</v>
      </c>
      <c r="E193" s="25">
        <v>25581.69</v>
      </c>
      <c r="F193" s="25">
        <v>14197.77</v>
      </c>
      <c r="G193" s="25">
        <f>$B193*'Walgreens National Payments'!E$22</f>
        <v>18603.493828189963</v>
      </c>
      <c r="H193" s="25">
        <f>$B193*'Walgreens National Payments'!F$22</f>
        <v>18603.493828189963</v>
      </c>
      <c r="I193" s="25">
        <f>$B193*'Walgreens National Payments'!G$22</f>
        <v>18603.493828189963</v>
      </c>
      <c r="J193" s="25">
        <f>$B193*'Walgreens National Payments'!H$22</f>
        <v>18603.493828189963</v>
      </c>
      <c r="K193" s="25">
        <f>$B193*'Walgreens National Payments'!I$22</f>
        <v>18603.493828189963</v>
      </c>
      <c r="L193" s="25">
        <f>$B193*'Walgreens National Payments'!J$22</f>
        <v>28184.258858277481</v>
      </c>
      <c r="M193" s="25">
        <f>$B193*'Walgreens National Payments'!K$22</f>
        <v>28184.258858277481</v>
      </c>
      <c r="N193" s="25">
        <f>$B193*'Walgreens National Payments'!L$22</f>
        <v>28184.258858277481</v>
      </c>
      <c r="O193" s="25">
        <f>$B193*'Walgreens National Payments'!M$22</f>
        <v>28184.258858277481</v>
      </c>
      <c r="P193" s="25">
        <f>$B193*'Walgreens National Payments'!N$22</f>
        <v>28184.258858277481</v>
      </c>
      <c r="Q193" s="25">
        <f>$B193*'Walgreens National Payments'!O$22</f>
        <v>28184.258858277481</v>
      </c>
      <c r="R193" s="25">
        <f>$B193*'Walgreens National Payments'!P$22</f>
        <v>28184.258858277481</v>
      </c>
      <c r="S193" s="25">
        <f>$B193*'Walgreens National Payments'!Q$22</f>
        <v>28184.258858277481</v>
      </c>
      <c r="T193" s="26" t="s">
        <v>346</v>
      </c>
      <c r="U193" s="26">
        <f t="shared" si="8"/>
        <v>358271.00000716967</v>
      </c>
    </row>
    <row r="194" spans="1:21" x14ac:dyDescent="0.35">
      <c r="A194" s="3" t="s">
        <v>217</v>
      </c>
      <c r="B194" s="16">
        <v>3.4855560519191808E-4</v>
      </c>
      <c r="C194" s="8" t="s">
        <v>218</v>
      </c>
      <c r="D194" s="33" t="str">
        <f t="shared" si="10"/>
        <v>No</v>
      </c>
      <c r="E194" s="25">
        <v>1704.31</v>
      </c>
      <c r="F194" s="25">
        <v>945.89</v>
      </c>
      <c r="G194" s="25">
        <f>$B194*'Walgreens National Payments'!E$22</f>
        <v>1239.4082884486418</v>
      </c>
      <c r="H194" s="25">
        <f>$B194*'Walgreens National Payments'!F$22</f>
        <v>1239.4082884486418</v>
      </c>
      <c r="I194" s="25">
        <f>$B194*'Walgreens National Payments'!G$22</f>
        <v>1239.4082884486418</v>
      </c>
      <c r="J194" s="25">
        <f>$B194*'Walgreens National Payments'!H$22</f>
        <v>1239.4082884486418</v>
      </c>
      <c r="K194" s="25">
        <f>$B194*'Walgreens National Payments'!I$22</f>
        <v>1239.4082884486418</v>
      </c>
      <c r="L194" s="25">
        <f>$B194*'Walgreens National Payments'!J$22</f>
        <v>1877.7012724243675</v>
      </c>
      <c r="M194" s="25">
        <f>$B194*'Walgreens National Payments'!K$22</f>
        <v>1877.7012724243675</v>
      </c>
      <c r="N194" s="25">
        <f>$B194*'Walgreens National Payments'!L$22</f>
        <v>1877.7012724243675</v>
      </c>
      <c r="O194" s="25">
        <f>$B194*'Walgreens National Payments'!M$22</f>
        <v>1877.7012724243675</v>
      </c>
      <c r="P194" s="25">
        <f>$B194*'Walgreens National Payments'!N$22</f>
        <v>1877.7012724243675</v>
      </c>
      <c r="Q194" s="25">
        <f>$B194*'Walgreens National Payments'!O$22</f>
        <v>1877.7012724243675</v>
      </c>
      <c r="R194" s="25">
        <f>$B194*'Walgreens National Payments'!P$22</f>
        <v>1877.7012724243675</v>
      </c>
      <c r="S194" s="25">
        <f>$B194*'Walgreens National Payments'!Q$22</f>
        <v>1877.7012724243675</v>
      </c>
      <c r="T194" s="26" t="s">
        <v>346</v>
      </c>
      <c r="U194" s="26">
        <f t="shared" si="8"/>
        <v>23868.85162163815</v>
      </c>
    </row>
    <row r="195" spans="1:21" x14ac:dyDescent="0.35">
      <c r="A195" s="3" t="s">
        <v>47</v>
      </c>
      <c r="B195" s="16">
        <v>1.2868028544570567E-4</v>
      </c>
      <c r="C195" s="8" t="s">
        <v>219</v>
      </c>
      <c r="D195" s="33" t="str">
        <f t="shared" si="10"/>
        <v>No</v>
      </c>
      <c r="E195" s="25">
        <v>0</v>
      </c>
      <c r="F195" s="25">
        <v>0</v>
      </c>
      <c r="G195" s="25">
        <f>$B195*'Walgreens National Payments'!E$22</f>
        <v>457.56662628773228</v>
      </c>
      <c r="H195" s="25">
        <f>$B195*'Walgreens National Payments'!F$22</f>
        <v>457.56662628773228</v>
      </c>
      <c r="I195" s="25">
        <f>$B195*'Walgreens National Payments'!G$22</f>
        <v>457.56662628773228</v>
      </c>
      <c r="J195" s="25">
        <f>$B195*'Walgreens National Payments'!H$22</f>
        <v>457.56662628773228</v>
      </c>
      <c r="K195" s="25">
        <f>$B195*'Walgreens National Payments'!I$22</f>
        <v>457.56662628773228</v>
      </c>
      <c r="L195" s="25">
        <f>$B195*'Walgreens National Payments'!J$22</f>
        <v>693.21259540294102</v>
      </c>
      <c r="M195" s="25">
        <f>$B195*'Walgreens National Payments'!K$22</f>
        <v>693.21259540294102</v>
      </c>
      <c r="N195" s="25">
        <f>$B195*'Walgreens National Payments'!L$22</f>
        <v>693.21259540294102</v>
      </c>
      <c r="O195" s="25">
        <f>$B195*'Walgreens National Payments'!M$22</f>
        <v>693.21259540294102</v>
      </c>
      <c r="P195" s="25">
        <f>$B195*'Walgreens National Payments'!N$22</f>
        <v>693.21259540294102</v>
      </c>
      <c r="Q195" s="25">
        <f>$B195*'Walgreens National Payments'!O$22</f>
        <v>693.21259540294102</v>
      </c>
      <c r="R195" s="25">
        <f>$B195*'Walgreens National Payments'!P$22</f>
        <v>693.21259540294102</v>
      </c>
      <c r="S195" s="25">
        <f>$B195*'Walgreens National Payments'!Q$22</f>
        <v>693.21259540294102</v>
      </c>
      <c r="T195" s="26" t="s">
        <v>346</v>
      </c>
      <c r="U195" s="26">
        <f t="shared" si="8"/>
        <v>7833.5338946621878</v>
      </c>
    </row>
    <row r="196" spans="1:21" x14ac:dyDescent="0.35">
      <c r="A196" s="3" t="s">
        <v>22</v>
      </c>
      <c r="B196" s="16">
        <v>9.3741051152000014E-4</v>
      </c>
      <c r="C196" s="8" t="s">
        <v>220</v>
      </c>
      <c r="D196" s="33" t="str">
        <f t="shared" si="10"/>
        <v>No</v>
      </c>
      <c r="E196" s="25">
        <v>4583.6000000000004</v>
      </c>
      <c r="F196" s="25">
        <v>2543.89</v>
      </c>
      <c r="G196" s="25">
        <f>$B196*'Walgreens National Payments'!E$22</f>
        <v>3333.2826681041379</v>
      </c>
      <c r="H196" s="25">
        <f>$B196*'Walgreens National Payments'!F$22</f>
        <v>3333.2826681041379</v>
      </c>
      <c r="I196" s="25">
        <f>$B196*'Walgreens National Payments'!G$22</f>
        <v>3333.2826681041379</v>
      </c>
      <c r="J196" s="25">
        <f>$B196*'Walgreens National Payments'!H$22</f>
        <v>3333.2826681041379</v>
      </c>
      <c r="K196" s="25">
        <f>$B196*'Walgreens National Payments'!I$22</f>
        <v>3333.2826681041379</v>
      </c>
      <c r="L196" s="25">
        <f>$B196*'Walgreens National Payments'!J$22</f>
        <v>5049.9170980076797</v>
      </c>
      <c r="M196" s="25">
        <f>$B196*'Walgreens National Payments'!K$22</f>
        <v>5049.9170980076797</v>
      </c>
      <c r="N196" s="25">
        <f>$B196*'Walgreens National Payments'!L$22</f>
        <v>5049.9170980076797</v>
      </c>
      <c r="O196" s="25">
        <f>$B196*'Walgreens National Payments'!M$22</f>
        <v>5049.9170980076797</v>
      </c>
      <c r="P196" s="25">
        <f>$B196*'Walgreens National Payments'!N$22</f>
        <v>5049.9170980076797</v>
      </c>
      <c r="Q196" s="25">
        <f>$B196*'Walgreens National Payments'!O$22</f>
        <v>5049.9170980076797</v>
      </c>
      <c r="R196" s="25">
        <f>$B196*'Walgreens National Payments'!P$22</f>
        <v>5049.9170980076797</v>
      </c>
      <c r="S196" s="25">
        <f>$B196*'Walgreens National Payments'!Q$22</f>
        <v>5049.9170980076797</v>
      </c>
      <c r="T196" s="26" t="s">
        <v>346</v>
      </c>
      <c r="U196" s="26">
        <f t="shared" ref="U196:U259" si="11">SUM(E196:S196)</f>
        <v>64193.240124582138</v>
      </c>
    </row>
    <row r="197" spans="1:21" x14ac:dyDescent="0.35">
      <c r="A197" s="3" t="s">
        <v>105</v>
      </c>
      <c r="B197" s="16">
        <v>4.1937412125987635E-4</v>
      </c>
      <c r="C197" s="8" t="s">
        <v>221</v>
      </c>
      <c r="D197" s="33" t="str">
        <f t="shared" si="10"/>
        <v>No</v>
      </c>
      <c r="E197" s="25">
        <v>2050.59</v>
      </c>
      <c r="F197" s="25">
        <v>1138.07</v>
      </c>
      <c r="G197" s="25">
        <f>$B197*'Walgreens National Payments'!E$22</f>
        <v>1491.2276667137887</v>
      </c>
      <c r="H197" s="25">
        <f>$B197*'Walgreens National Payments'!F$22</f>
        <v>1491.2276667137887</v>
      </c>
      <c r="I197" s="25">
        <f>$B197*'Walgreens National Payments'!G$22</f>
        <v>1491.2276667137887</v>
      </c>
      <c r="J197" s="25">
        <f>$B197*'Walgreens National Payments'!H$22</f>
        <v>1491.2276667137887</v>
      </c>
      <c r="K197" s="25">
        <f>$B197*'Walgreens National Payments'!I$22</f>
        <v>1491.2276667137887</v>
      </c>
      <c r="L197" s="25">
        <f>$B197*'Walgreens National Payments'!J$22</f>
        <v>2259.207166322682</v>
      </c>
      <c r="M197" s="25">
        <f>$B197*'Walgreens National Payments'!K$22</f>
        <v>2259.207166322682</v>
      </c>
      <c r="N197" s="25">
        <f>$B197*'Walgreens National Payments'!L$22</f>
        <v>2259.207166322682</v>
      </c>
      <c r="O197" s="25">
        <f>$B197*'Walgreens National Payments'!M$22</f>
        <v>2259.207166322682</v>
      </c>
      <c r="P197" s="25">
        <f>$B197*'Walgreens National Payments'!N$22</f>
        <v>2259.207166322682</v>
      </c>
      <c r="Q197" s="25">
        <f>$B197*'Walgreens National Payments'!O$22</f>
        <v>2259.207166322682</v>
      </c>
      <c r="R197" s="25">
        <f>$B197*'Walgreens National Payments'!P$22</f>
        <v>2259.207166322682</v>
      </c>
      <c r="S197" s="25">
        <f>$B197*'Walgreens National Payments'!Q$22</f>
        <v>2259.207166322682</v>
      </c>
      <c r="T197" s="26" t="s">
        <v>346</v>
      </c>
      <c r="U197" s="26">
        <f t="shared" si="11"/>
        <v>28718.455664150395</v>
      </c>
    </row>
    <row r="198" spans="1:21" x14ac:dyDescent="0.35">
      <c r="A198" s="3" t="s">
        <v>34</v>
      </c>
      <c r="B198" s="16">
        <v>8.7589028181219765E-4</v>
      </c>
      <c r="C198" s="8" t="s">
        <v>222</v>
      </c>
      <c r="D198" s="33" t="str">
        <f t="shared" si="10"/>
        <v>No</v>
      </c>
      <c r="E198" s="25">
        <v>4282.79</v>
      </c>
      <c r="F198" s="25">
        <v>2376.94</v>
      </c>
      <c r="G198" s="25">
        <f>$B198*'Walgreens National Payments'!E$22</f>
        <v>3114.5265170873395</v>
      </c>
      <c r="H198" s="25">
        <f>$B198*'Walgreens National Payments'!F$22</f>
        <v>3114.5265170873395</v>
      </c>
      <c r="I198" s="25">
        <f>$B198*'Walgreens National Payments'!G$22</f>
        <v>3114.5265170873395</v>
      </c>
      <c r="J198" s="25">
        <f>$B198*'Walgreens National Payments'!H$22</f>
        <v>3114.5265170873395</v>
      </c>
      <c r="K198" s="25">
        <f>$B198*'Walgreens National Payments'!I$22</f>
        <v>3114.5265170873395</v>
      </c>
      <c r="L198" s="25">
        <f>$B198*'Walgreens National Payments'!J$22</f>
        <v>4718.501932445859</v>
      </c>
      <c r="M198" s="25">
        <f>$B198*'Walgreens National Payments'!K$22</f>
        <v>4718.501932445859</v>
      </c>
      <c r="N198" s="25">
        <f>$B198*'Walgreens National Payments'!L$22</f>
        <v>4718.501932445859</v>
      </c>
      <c r="O198" s="25">
        <f>$B198*'Walgreens National Payments'!M$22</f>
        <v>4718.501932445859</v>
      </c>
      <c r="P198" s="25">
        <f>$B198*'Walgreens National Payments'!N$22</f>
        <v>4718.501932445859</v>
      </c>
      <c r="Q198" s="25">
        <f>$B198*'Walgreens National Payments'!O$22</f>
        <v>4718.501932445859</v>
      </c>
      <c r="R198" s="25">
        <f>$B198*'Walgreens National Payments'!P$22</f>
        <v>4718.501932445859</v>
      </c>
      <c r="S198" s="25">
        <f>$B198*'Walgreens National Payments'!Q$22</f>
        <v>4718.501932445859</v>
      </c>
      <c r="T198" s="26" t="s">
        <v>346</v>
      </c>
      <c r="U198" s="26">
        <f t="shared" si="11"/>
        <v>59980.378045003556</v>
      </c>
    </row>
    <row r="199" spans="1:21" x14ac:dyDescent="0.35">
      <c r="A199" s="3" t="s">
        <v>34</v>
      </c>
      <c r="B199" s="16">
        <v>6.2011746176264277E-4</v>
      </c>
      <c r="C199" s="8" t="s">
        <v>223</v>
      </c>
      <c r="D199" s="33" t="str">
        <f t="shared" si="10"/>
        <v>No</v>
      </c>
      <c r="E199" s="25">
        <v>3032.15</v>
      </c>
      <c r="F199" s="25">
        <v>1682.84</v>
      </c>
      <c r="G199" s="25">
        <f>$B199*'Walgreens National Payments'!E$22</f>
        <v>2205.0390539471209</v>
      </c>
      <c r="H199" s="25">
        <f>$B199*'Walgreens National Payments'!F$22</f>
        <v>2205.0390539471209</v>
      </c>
      <c r="I199" s="25">
        <f>$B199*'Walgreens National Payments'!G$22</f>
        <v>2205.0390539471209</v>
      </c>
      <c r="J199" s="25">
        <f>$B199*'Walgreens National Payments'!H$22</f>
        <v>2205.0390539471209</v>
      </c>
      <c r="K199" s="25">
        <f>$B199*'Walgreens National Payments'!I$22</f>
        <v>2205.0390539471209</v>
      </c>
      <c r="L199" s="25">
        <f>$B199*'Walgreens National Payments'!J$22</f>
        <v>3340.6301022276089</v>
      </c>
      <c r="M199" s="25">
        <f>$B199*'Walgreens National Payments'!K$22</f>
        <v>3340.6301022276089</v>
      </c>
      <c r="N199" s="25">
        <f>$B199*'Walgreens National Payments'!L$22</f>
        <v>3340.6301022276089</v>
      </c>
      <c r="O199" s="25">
        <f>$B199*'Walgreens National Payments'!M$22</f>
        <v>3340.6301022276089</v>
      </c>
      <c r="P199" s="25">
        <f>$B199*'Walgreens National Payments'!N$22</f>
        <v>3340.6301022276089</v>
      </c>
      <c r="Q199" s="25">
        <f>$B199*'Walgreens National Payments'!O$22</f>
        <v>3340.6301022276089</v>
      </c>
      <c r="R199" s="25">
        <f>$B199*'Walgreens National Payments'!P$22</f>
        <v>3340.6301022276089</v>
      </c>
      <c r="S199" s="25">
        <f>$B199*'Walgreens National Payments'!Q$22</f>
        <v>3340.6301022276089</v>
      </c>
      <c r="T199" s="26" t="s">
        <v>346</v>
      </c>
      <c r="U199" s="26">
        <f t="shared" si="11"/>
        <v>42465.226087556475</v>
      </c>
    </row>
    <row r="200" spans="1:21" x14ac:dyDescent="0.35">
      <c r="A200" s="3" t="s">
        <v>34</v>
      </c>
      <c r="B200" s="16">
        <v>1.6393846172607529E-4</v>
      </c>
      <c r="C200" s="8" t="s">
        <v>224</v>
      </c>
      <c r="D200" s="33" t="str">
        <f t="shared" si="10"/>
        <v>No</v>
      </c>
      <c r="E200" s="25">
        <v>801.6</v>
      </c>
      <c r="F200" s="25">
        <v>444.89</v>
      </c>
      <c r="G200" s="25">
        <f>$B200*'Walgreens National Payments'!E$22</f>
        <v>582.93909273655663</v>
      </c>
      <c r="H200" s="25">
        <f>$B200*'Walgreens National Payments'!F$22</f>
        <v>582.93909273655663</v>
      </c>
      <c r="I200" s="25">
        <f>$B200*'Walgreens National Payments'!G$22</f>
        <v>582.93909273655663</v>
      </c>
      <c r="J200" s="25">
        <f>$B200*'Walgreens National Payments'!H$22</f>
        <v>582.93909273655663</v>
      </c>
      <c r="K200" s="25">
        <f>$B200*'Walgreens National Payments'!I$22</f>
        <v>582.93909273655663</v>
      </c>
      <c r="L200" s="25">
        <f>$B200*'Walgreens National Payments'!J$22</f>
        <v>883.1516509764698</v>
      </c>
      <c r="M200" s="25">
        <f>$B200*'Walgreens National Payments'!K$22</f>
        <v>883.1516509764698</v>
      </c>
      <c r="N200" s="25">
        <f>$B200*'Walgreens National Payments'!L$22</f>
        <v>883.1516509764698</v>
      </c>
      <c r="O200" s="25">
        <f>$B200*'Walgreens National Payments'!M$22</f>
        <v>883.1516509764698</v>
      </c>
      <c r="P200" s="25">
        <f>$B200*'Walgreens National Payments'!N$22</f>
        <v>883.1516509764698</v>
      </c>
      <c r="Q200" s="25">
        <f>$B200*'Walgreens National Payments'!O$22</f>
        <v>883.1516509764698</v>
      </c>
      <c r="R200" s="25">
        <f>$B200*'Walgreens National Payments'!P$22</f>
        <v>883.1516509764698</v>
      </c>
      <c r="S200" s="25">
        <f>$B200*'Walgreens National Payments'!Q$22</f>
        <v>883.1516509764698</v>
      </c>
      <c r="T200" s="26" t="s">
        <v>346</v>
      </c>
      <c r="U200" s="26">
        <f t="shared" si="11"/>
        <v>11226.39867149454</v>
      </c>
    </row>
    <row r="201" spans="1:21" x14ac:dyDescent="0.35">
      <c r="A201" s="3" t="s">
        <v>34</v>
      </c>
      <c r="B201" s="16">
        <v>5.8535727113920008E-2</v>
      </c>
      <c r="C201" s="8" t="s">
        <v>34</v>
      </c>
      <c r="D201" s="33" t="str">
        <f t="shared" si="10"/>
        <v>No</v>
      </c>
      <c r="E201" s="25">
        <v>287191.02</v>
      </c>
      <c r="F201" s="25">
        <v>159390.22</v>
      </c>
      <c r="G201" s="25">
        <f>$B201*'Walgreens National Payments'!E$22</f>
        <v>208143.73452813592</v>
      </c>
      <c r="H201" s="25">
        <f>$B201*'Walgreens National Payments'!F$22</f>
        <v>208143.73452813592</v>
      </c>
      <c r="I201" s="25">
        <f>$B201*'Walgreens National Payments'!G$22</f>
        <v>208143.73452813592</v>
      </c>
      <c r="J201" s="25">
        <f>$B201*'Walgreens National Payments'!H$22</f>
        <v>208143.73452813592</v>
      </c>
      <c r="K201" s="25">
        <f>$B201*'Walgreens National Payments'!I$22</f>
        <v>208143.73452813592</v>
      </c>
      <c r="L201" s="25">
        <f>$B201*'Walgreens National Payments'!J$22</f>
        <v>315337.37414314196</v>
      </c>
      <c r="M201" s="25">
        <f>$B201*'Walgreens National Payments'!K$22</f>
        <v>315337.37414314196</v>
      </c>
      <c r="N201" s="25">
        <f>$B201*'Walgreens National Payments'!L$22</f>
        <v>315337.37414314196</v>
      </c>
      <c r="O201" s="25">
        <f>$B201*'Walgreens National Payments'!M$22</f>
        <v>315337.37414314196</v>
      </c>
      <c r="P201" s="25">
        <f>$B201*'Walgreens National Payments'!N$22</f>
        <v>315337.37414314196</v>
      </c>
      <c r="Q201" s="25">
        <f>$B201*'Walgreens National Payments'!O$22</f>
        <v>315337.37414314196</v>
      </c>
      <c r="R201" s="25">
        <f>$B201*'Walgreens National Payments'!P$22</f>
        <v>315337.37414314196</v>
      </c>
      <c r="S201" s="25">
        <f>$B201*'Walgreens National Payments'!Q$22</f>
        <v>315337.37414314196</v>
      </c>
      <c r="T201" s="26" t="s">
        <v>346</v>
      </c>
      <c r="U201" s="26">
        <f t="shared" si="11"/>
        <v>4009998.9057858144</v>
      </c>
    </row>
    <row r="202" spans="1:21" x14ac:dyDescent="0.35">
      <c r="A202" s="3" t="s">
        <v>225</v>
      </c>
      <c r="B202" s="16">
        <v>2.4376421473599999E-3</v>
      </c>
      <c r="C202" s="8" t="s">
        <v>225</v>
      </c>
      <c r="D202" s="33" t="str">
        <f t="shared" si="10"/>
        <v>No</v>
      </c>
      <c r="E202" s="25">
        <v>11919.19</v>
      </c>
      <c r="F202" s="25">
        <v>6615.12</v>
      </c>
      <c r="G202" s="25">
        <f>$B202*'Walgreens National Payments'!E$22</f>
        <v>8667.8677281526107</v>
      </c>
      <c r="H202" s="25">
        <f>$B202*'Walgreens National Payments'!F$22</f>
        <v>8667.8677281526107</v>
      </c>
      <c r="I202" s="25">
        <f>$B202*'Walgreens National Payments'!G$22</f>
        <v>8667.8677281526107</v>
      </c>
      <c r="J202" s="25">
        <f>$B202*'Walgreens National Payments'!H$22</f>
        <v>8667.8677281526107</v>
      </c>
      <c r="K202" s="25">
        <f>$B202*'Walgreens National Payments'!I$22</f>
        <v>8667.8677281526107</v>
      </c>
      <c r="L202" s="25">
        <f>$B202*'Walgreens National Payments'!J$22</f>
        <v>13131.803630852268</v>
      </c>
      <c r="M202" s="25">
        <f>$B202*'Walgreens National Payments'!K$22</f>
        <v>13131.803630852268</v>
      </c>
      <c r="N202" s="25">
        <f>$B202*'Walgreens National Payments'!L$22</f>
        <v>13131.803630852268</v>
      </c>
      <c r="O202" s="25">
        <f>$B202*'Walgreens National Payments'!M$22</f>
        <v>13131.803630852268</v>
      </c>
      <c r="P202" s="25">
        <f>$B202*'Walgreens National Payments'!N$22</f>
        <v>13131.803630852268</v>
      </c>
      <c r="Q202" s="25">
        <f>$B202*'Walgreens National Payments'!O$22</f>
        <v>13131.803630852268</v>
      </c>
      <c r="R202" s="25">
        <f>$B202*'Walgreens National Payments'!P$22</f>
        <v>13131.803630852268</v>
      </c>
      <c r="S202" s="25">
        <f>$B202*'Walgreens National Payments'!Q$22</f>
        <v>13131.803630852268</v>
      </c>
      <c r="T202" s="26" t="s">
        <v>346</v>
      </c>
      <c r="U202" s="26">
        <f t="shared" si="11"/>
        <v>166928.07768758119</v>
      </c>
    </row>
    <row r="203" spans="1:21" x14ac:dyDescent="0.35">
      <c r="A203" s="3" t="s">
        <v>60</v>
      </c>
      <c r="B203" s="16">
        <v>2.1604790854926307E-6</v>
      </c>
      <c r="C203" s="8" t="s">
        <v>226</v>
      </c>
      <c r="D203" s="8" t="s">
        <v>337</v>
      </c>
      <c r="E203" s="25">
        <v>0</v>
      </c>
      <c r="F203" s="25">
        <v>0</v>
      </c>
      <c r="G203" s="25">
        <f>$B203*'Walgreens National Payments'!E$22</f>
        <v>7.682319967584891</v>
      </c>
      <c r="H203" s="25">
        <f>$B203*'Walgreens National Payments'!F$22</f>
        <v>7.682319967584891</v>
      </c>
      <c r="I203" s="25">
        <f>$B203*'Walgreens National Payments'!G$22</f>
        <v>7.682319967584891</v>
      </c>
      <c r="J203" s="25">
        <f>$B203*'Walgreens National Payments'!H$22</f>
        <v>7.682319967584891</v>
      </c>
      <c r="K203" s="25">
        <f>$B203*'Walgreens National Payments'!I$22</f>
        <v>7.682319967584891</v>
      </c>
      <c r="L203" s="25">
        <f>$B203*'Walgreens National Payments'!J$22</f>
        <v>11.638700590231705</v>
      </c>
      <c r="M203" s="25">
        <f>$B203*'Walgreens National Payments'!K$22</f>
        <v>11.638700590231705</v>
      </c>
      <c r="N203" s="25">
        <f>$B203*'Walgreens National Payments'!L$22</f>
        <v>11.638700590231705</v>
      </c>
      <c r="O203" s="25">
        <f>$B203*'Walgreens National Payments'!M$22</f>
        <v>11.638700590231705</v>
      </c>
      <c r="P203" s="25">
        <f>$B203*'Walgreens National Payments'!N$22</f>
        <v>11.638700590231705</v>
      </c>
      <c r="Q203" s="25">
        <f>$B203*'Walgreens National Payments'!O$22</f>
        <v>11.638700590231705</v>
      </c>
      <c r="R203" s="25">
        <f>$B203*'Walgreens National Payments'!P$22</f>
        <v>11.638700590231705</v>
      </c>
      <c r="S203" s="25">
        <f>$B203*'Walgreens National Payments'!Q$22</f>
        <v>11.638700590231705</v>
      </c>
      <c r="T203" s="26" t="s">
        <v>346</v>
      </c>
      <c r="U203" s="26">
        <f t="shared" si="11"/>
        <v>131.52120455977811</v>
      </c>
    </row>
    <row r="204" spans="1:21" x14ac:dyDescent="0.35">
      <c r="A204" s="3" t="s">
        <v>227</v>
      </c>
      <c r="B204" s="16">
        <v>6.2312530156800007E-3</v>
      </c>
      <c r="C204" s="8" t="s">
        <v>227</v>
      </c>
      <c r="D204" s="33" t="str">
        <f t="shared" ref="D204:D263" si="12">IF(B204&lt;0.000083,"Yes","No")</f>
        <v>No</v>
      </c>
      <c r="E204" s="25">
        <v>30468.59</v>
      </c>
      <c r="F204" s="25">
        <v>16909.98</v>
      </c>
      <c r="G204" s="25">
        <f>$B204*'Walgreens National Payments'!E$22</f>
        <v>22157.344538476129</v>
      </c>
      <c r="H204" s="25">
        <f>$B204*'Walgreens National Payments'!F$22</f>
        <v>22157.344538476129</v>
      </c>
      <c r="I204" s="25">
        <f>$B204*'Walgreens National Payments'!G$22</f>
        <v>22157.344538476129</v>
      </c>
      <c r="J204" s="25">
        <f>$B204*'Walgreens National Payments'!H$22</f>
        <v>22157.344538476129</v>
      </c>
      <c r="K204" s="25">
        <f>$B204*'Walgreens National Payments'!I$22</f>
        <v>22157.344538476129</v>
      </c>
      <c r="L204" s="25">
        <f>$B204*'Walgreens National Payments'!J$22</f>
        <v>33568.336133622477</v>
      </c>
      <c r="M204" s="25">
        <f>$B204*'Walgreens National Payments'!K$22</f>
        <v>33568.336133622477</v>
      </c>
      <c r="N204" s="25">
        <f>$B204*'Walgreens National Payments'!L$22</f>
        <v>33568.336133622477</v>
      </c>
      <c r="O204" s="25">
        <f>$B204*'Walgreens National Payments'!M$22</f>
        <v>33568.336133622477</v>
      </c>
      <c r="P204" s="25">
        <f>$B204*'Walgreens National Payments'!N$22</f>
        <v>33568.336133622477</v>
      </c>
      <c r="Q204" s="25">
        <f>$B204*'Walgreens National Payments'!O$22</f>
        <v>33568.336133622477</v>
      </c>
      <c r="R204" s="25">
        <f>$B204*'Walgreens National Payments'!P$22</f>
        <v>33568.336133622477</v>
      </c>
      <c r="S204" s="25">
        <f>$B204*'Walgreens National Payments'!Q$22</f>
        <v>33568.336133622477</v>
      </c>
      <c r="T204" s="26" t="s">
        <v>346</v>
      </c>
      <c r="U204" s="26">
        <f t="shared" si="11"/>
        <v>426711.98176136042</v>
      </c>
    </row>
    <row r="205" spans="1:21" x14ac:dyDescent="0.35">
      <c r="A205" s="3" t="s">
        <v>228</v>
      </c>
      <c r="B205" s="16">
        <v>5.6487088447999996E-4</v>
      </c>
      <c r="C205" s="8" t="s">
        <v>228</v>
      </c>
      <c r="D205" s="33" t="str">
        <f t="shared" si="12"/>
        <v>No</v>
      </c>
      <c r="E205" s="25">
        <v>2762.02</v>
      </c>
      <c r="F205" s="25">
        <v>1532.91</v>
      </c>
      <c r="G205" s="25">
        <f>$B205*'Walgreens National Payments'!E$22</f>
        <v>2008.5910130245711</v>
      </c>
      <c r="H205" s="25">
        <f>$B205*'Walgreens National Payments'!F$22</f>
        <v>2008.5910130245711</v>
      </c>
      <c r="I205" s="25">
        <f>$B205*'Walgreens National Payments'!G$22</f>
        <v>2008.5910130245711</v>
      </c>
      <c r="J205" s="25">
        <f>$B205*'Walgreens National Payments'!H$22</f>
        <v>2008.5910130245711</v>
      </c>
      <c r="K205" s="25">
        <f>$B205*'Walgreens National Payments'!I$22</f>
        <v>2008.5910130245711</v>
      </c>
      <c r="L205" s="25">
        <f>$B205*'Walgreens National Payments'!J$22</f>
        <v>3043.0116823385033</v>
      </c>
      <c r="M205" s="25">
        <f>$B205*'Walgreens National Payments'!K$22</f>
        <v>3043.0116823385033</v>
      </c>
      <c r="N205" s="25">
        <f>$B205*'Walgreens National Payments'!L$22</f>
        <v>3043.0116823385033</v>
      </c>
      <c r="O205" s="25">
        <f>$B205*'Walgreens National Payments'!M$22</f>
        <v>3043.0116823385033</v>
      </c>
      <c r="P205" s="25">
        <f>$B205*'Walgreens National Payments'!N$22</f>
        <v>3043.0116823385033</v>
      </c>
      <c r="Q205" s="25">
        <f>$B205*'Walgreens National Payments'!O$22</f>
        <v>3043.0116823385033</v>
      </c>
      <c r="R205" s="25">
        <f>$B205*'Walgreens National Payments'!P$22</f>
        <v>3043.0116823385033</v>
      </c>
      <c r="S205" s="25">
        <f>$B205*'Walgreens National Payments'!Q$22</f>
        <v>3043.0116823385033</v>
      </c>
      <c r="T205" s="26" t="s">
        <v>346</v>
      </c>
      <c r="U205" s="26">
        <f t="shared" si="11"/>
        <v>38681.978523830883</v>
      </c>
    </row>
    <row r="206" spans="1:21" x14ac:dyDescent="0.35">
      <c r="A206" s="3" t="s">
        <v>34</v>
      </c>
      <c r="B206" s="16">
        <v>2.8958027866277504E-4</v>
      </c>
      <c r="C206" s="8" t="s">
        <v>229</v>
      </c>
      <c r="D206" s="33" t="str">
        <f t="shared" si="12"/>
        <v>No</v>
      </c>
      <c r="E206" s="25">
        <v>1415.94</v>
      </c>
      <c r="F206" s="25">
        <v>785.84</v>
      </c>
      <c r="G206" s="25">
        <f>$B206*'Walgreens National Payments'!E$22</f>
        <v>1029.7014083256313</v>
      </c>
      <c r="H206" s="25">
        <f>$B206*'Walgreens National Payments'!F$22</f>
        <v>1029.7014083256313</v>
      </c>
      <c r="I206" s="25">
        <f>$B206*'Walgreens National Payments'!G$22</f>
        <v>1029.7014083256313</v>
      </c>
      <c r="J206" s="25">
        <f>$B206*'Walgreens National Payments'!H$22</f>
        <v>1029.7014083256313</v>
      </c>
      <c r="K206" s="25">
        <f>$B206*'Walgreens National Payments'!I$22</f>
        <v>1029.7014083256313</v>
      </c>
      <c r="L206" s="25">
        <f>$B206*'Walgreens National Payments'!J$22</f>
        <v>1559.9957355863039</v>
      </c>
      <c r="M206" s="25">
        <f>$B206*'Walgreens National Payments'!K$22</f>
        <v>1559.9957355863039</v>
      </c>
      <c r="N206" s="25">
        <f>$B206*'Walgreens National Payments'!L$22</f>
        <v>1559.9957355863039</v>
      </c>
      <c r="O206" s="25">
        <f>$B206*'Walgreens National Payments'!M$22</f>
        <v>1559.9957355863039</v>
      </c>
      <c r="P206" s="25">
        <f>$B206*'Walgreens National Payments'!N$22</f>
        <v>1559.9957355863039</v>
      </c>
      <c r="Q206" s="25">
        <f>$B206*'Walgreens National Payments'!O$22</f>
        <v>1559.9957355863039</v>
      </c>
      <c r="R206" s="25">
        <f>$B206*'Walgreens National Payments'!P$22</f>
        <v>1559.9957355863039</v>
      </c>
      <c r="S206" s="25">
        <f>$B206*'Walgreens National Payments'!Q$22</f>
        <v>1559.9957355863039</v>
      </c>
      <c r="T206" s="26" t="s">
        <v>346</v>
      </c>
      <c r="U206" s="26">
        <f t="shared" si="11"/>
        <v>19830.25292631859</v>
      </c>
    </row>
    <row r="207" spans="1:21" x14ac:dyDescent="0.35">
      <c r="A207" s="3" t="s">
        <v>230</v>
      </c>
      <c r="B207" s="16">
        <v>2.1551218640000003E-3</v>
      </c>
      <c r="C207" s="8" t="s">
        <v>230</v>
      </c>
      <c r="D207" s="33" t="str">
        <f t="shared" si="12"/>
        <v>No</v>
      </c>
      <c r="E207" s="25">
        <v>10537.77</v>
      </c>
      <c r="F207" s="25">
        <v>5848.43</v>
      </c>
      <c r="G207" s="25">
        <f>$B207*'Walgreens National Payments'!E$22</f>
        <v>7663.2705401130097</v>
      </c>
      <c r="H207" s="25">
        <f>$B207*'Walgreens National Payments'!F$22</f>
        <v>7663.2705401130097</v>
      </c>
      <c r="I207" s="25">
        <f>$B207*'Walgreens National Payments'!G$22</f>
        <v>7663.2705401130097</v>
      </c>
      <c r="J207" s="25">
        <f>$B207*'Walgreens National Payments'!H$22</f>
        <v>7663.2705401130097</v>
      </c>
      <c r="K207" s="25">
        <f>$B207*'Walgreens National Payments'!I$22</f>
        <v>7663.2705401130097</v>
      </c>
      <c r="L207" s="25">
        <f>$B207*'Walgreens National Payments'!J$22</f>
        <v>11609.840742725215</v>
      </c>
      <c r="M207" s="25">
        <f>$B207*'Walgreens National Payments'!K$22</f>
        <v>11609.840742725215</v>
      </c>
      <c r="N207" s="25">
        <f>$B207*'Walgreens National Payments'!L$22</f>
        <v>11609.840742725215</v>
      </c>
      <c r="O207" s="25">
        <f>$B207*'Walgreens National Payments'!M$22</f>
        <v>11609.840742725215</v>
      </c>
      <c r="P207" s="25">
        <f>$B207*'Walgreens National Payments'!N$22</f>
        <v>11609.840742725215</v>
      </c>
      <c r="Q207" s="25">
        <f>$B207*'Walgreens National Payments'!O$22</f>
        <v>11609.840742725215</v>
      </c>
      <c r="R207" s="25">
        <f>$B207*'Walgreens National Payments'!P$22</f>
        <v>11609.840742725215</v>
      </c>
      <c r="S207" s="25">
        <f>$B207*'Walgreens National Payments'!Q$22</f>
        <v>11609.840742725215</v>
      </c>
      <c r="T207" s="26" t="s">
        <v>346</v>
      </c>
      <c r="U207" s="26">
        <f t="shared" si="11"/>
        <v>147581.27864236673</v>
      </c>
    </row>
    <row r="208" spans="1:21" x14ac:dyDescent="0.35">
      <c r="A208" s="3" t="s">
        <v>231</v>
      </c>
      <c r="B208" s="16">
        <v>5.8661152369835065E-4</v>
      </c>
      <c r="C208" s="8" t="s">
        <v>231</v>
      </c>
      <c r="D208" s="33" t="str">
        <f t="shared" si="12"/>
        <v>No</v>
      </c>
      <c r="E208" s="25">
        <v>2868.32</v>
      </c>
      <c r="F208" s="25">
        <v>1591.91</v>
      </c>
      <c r="G208" s="25">
        <f>$B208*'Walgreens National Payments'!E$22</f>
        <v>2085.8972678717969</v>
      </c>
      <c r="H208" s="25">
        <f>$B208*'Walgreens National Payments'!F$22</f>
        <v>2085.8972678717969</v>
      </c>
      <c r="I208" s="25">
        <f>$B208*'Walgreens National Payments'!G$22</f>
        <v>2085.8972678717969</v>
      </c>
      <c r="J208" s="25">
        <f>$B208*'Walgreens National Payments'!H$22</f>
        <v>2085.8972678717969</v>
      </c>
      <c r="K208" s="25">
        <f>$B208*'Walgreens National Payments'!I$22</f>
        <v>2085.8972678717969</v>
      </c>
      <c r="L208" s="25">
        <f>$B208*'Walgreens National Payments'!J$22</f>
        <v>3160.1305159350509</v>
      </c>
      <c r="M208" s="25">
        <f>$B208*'Walgreens National Payments'!K$22</f>
        <v>3160.1305159350509</v>
      </c>
      <c r="N208" s="25">
        <f>$B208*'Walgreens National Payments'!L$22</f>
        <v>3160.1305159350509</v>
      </c>
      <c r="O208" s="25">
        <f>$B208*'Walgreens National Payments'!M$22</f>
        <v>3160.1305159350509</v>
      </c>
      <c r="P208" s="25">
        <f>$B208*'Walgreens National Payments'!N$22</f>
        <v>3160.1305159350509</v>
      </c>
      <c r="Q208" s="25">
        <f>$B208*'Walgreens National Payments'!O$22</f>
        <v>3160.1305159350509</v>
      </c>
      <c r="R208" s="25">
        <f>$B208*'Walgreens National Payments'!P$22</f>
        <v>3160.1305159350509</v>
      </c>
      <c r="S208" s="25">
        <f>$B208*'Walgreens National Payments'!Q$22</f>
        <v>3160.1305159350509</v>
      </c>
      <c r="T208" s="26" t="s">
        <v>346</v>
      </c>
      <c r="U208" s="26">
        <f t="shared" si="11"/>
        <v>40170.760466839398</v>
      </c>
    </row>
    <row r="209" spans="1:21" x14ac:dyDescent="0.35">
      <c r="A209" s="3" t="s">
        <v>83</v>
      </c>
      <c r="B209" s="16">
        <v>7.4328491705644338E-5</v>
      </c>
      <c r="C209" s="8" t="s">
        <v>232</v>
      </c>
      <c r="D209" s="33" t="str">
        <f t="shared" si="12"/>
        <v>Yes</v>
      </c>
      <c r="E209" s="25">
        <v>5379.89</v>
      </c>
      <c r="F209" s="48">
        <v>0</v>
      </c>
      <c r="G209" s="102">
        <v>0</v>
      </c>
      <c r="H209" s="102">
        <v>0</v>
      </c>
      <c r="I209" s="102">
        <v>0</v>
      </c>
      <c r="J209" s="102">
        <v>0</v>
      </c>
      <c r="K209" s="102">
        <v>0</v>
      </c>
      <c r="L209" s="102">
        <v>0</v>
      </c>
      <c r="M209" s="102">
        <v>0</v>
      </c>
      <c r="N209" s="102">
        <v>0</v>
      </c>
      <c r="O209" s="102">
        <v>0</v>
      </c>
      <c r="P209" s="102">
        <v>0</v>
      </c>
      <c r="Q209" s="102">
        <v>0</v>
      </c>
      <c r="R209" s="102">
        <v>0</v>
      </c>
      <c r="S209" s="102">
        <v>0</v>
      </c>
      <c r="T209" s="26" t="s">
        <v>346</v>
      </c>
      <c r="U209" s="26">
        <f t="shared" si="11"/>
        <v>5379.89</v>
      </c>
    </row>
    <row r="210" spans="1:21" x14ac:dyDescent="0.35">
      <c r="A210" s="3" t="s">
        <v>233</v>
      </c>
      <c r="B210" s="16">
        <v>3.1792059880000004E-3</v>
      </c>
      <c r="C210" s="8" t="s">
        <v>233</v>
      </c>
      <c r="D210" s="33" t="str">
        <f t="shared" si="12"/>
        <v>No</v>
      </c>
      <c r="E210" s="25">
        <v>15545.18</v>
      </c>
      <c r="F210" s="25">
        <v>8627.5300000000007</v>
      </c>
      <c r="G210" s="25">
        <f>$B210*'Walgreens National Payments'!E$22</f>
        <v>11304.750787304562</v>
      </c>
      <c r="H210" s="25">
        <f>$B210*'Walgreens National Payments'!F$22</f>
        <v>11304.750787304562</v>
      </c>
      <c r="I210" s="25">
        <f>$B210*'Walgreens National Payments'!G$22</f>
        <v>11304.750787304562</v>
      </c>
      <c r="J210" s="25">
        <f>$B210*'Walgreens National Payments'!H$22</f>
        <v>11304.750787304562</v>
      </c>
      <c r="K210" s="25">
        <f>$B210*'Walgreens National Payments'!I$22</f>
        <v>11304.750787304562</v>
      </c>
      <c r="L210" s="25">
        <f>$B210*'Walgreens National Payments'!J$22</f>
        <v>17126.676604956188</v>
      </c>
      <c r="M210" s="25">
        <f>$B210*'Walgreens National Payments'!K$22</f>
        <v>17126.676604956188</v>
      </c>
      <c r="N210" s="25">
        <f>$B210*'Walgreens National Payments'!L$22</f>
        <v>17126.676604956188</v>
      </c>
      <c r="O210" s="25">
        <f>$B210*'Walgreens National Payments'!M$22</f>
        <v>17126.676604956188</v>
      </c>
      <c r="P210" s="25">
        <f>$B210*'Walgreens National Payments'!N$22</f>
        <v>17126.676604956188</v>
      </c>
      <c r="Q210" s="25">
        <f>$B210*'Walgreens National Payments'!O$22</f>
        <v>17126.676604956188</v>
      </c>
      <c r="R210" s="25">
        <f>$B210*'Walgreens National Payments'!P$22</f>
        <v>17126.676604956188</v>
      </c>
      <c r="S210" s="25">
        <f>$B210*'Walgreens National Payments'!Q$22</f>
        <v>17126.676604956188</v>
      </c>
      <c r="T210" s="26" t="s">
        <v>346</v>
      </c>
      <c r="U210" s="26">
        <f t="shared" si="11"/>
        <v>217709.87677617228</v>
      </c>
    </row>
    <row r="211" spans="1:21" x14ac:dyDescent="0.35">
      <c r="A211" s="3" t="s">
        <v>24</v>
      </c>
      <c r="B211" s="16">
        <v>8.8613450937211676E-3</v>
      </c>
      <c r="C211" s="8" t="s">
        <v>24</v>
      </c>
      <c r="D211" s="33" t="str">
        <f t="shared" si="12"/>
        <v>No</v>
      </c>
      <c r="E211" s="25">
        <v>53606.22</v>
      </c>
      <c r="F211" s="25">
        <v>24991</v>
      </c>
      <c r="G211" s="25">
        <f>$B211*'Walgreens National Payments'!E$22</f>
        <v>31509.533607742364</v>
      </c>
      <c r="H211" s="25">
        <f>$B211*'Walgreens National Payments'!F$22</f>
        <v>31509.533607742364</v>
      </c>
      <c r="I211" s="25">
        <f>$B211*'Walgreens National Payments'!G$22</f>
        <v>31509.533607742364</v>
      </c>
      <c r="J211" s="25">
        <f>$B211*'Walgreens National Payments'!H$22</f>
        <v>31509.533607742364</v>
      </c>
      <c r="K211" s="25">
        <f>$B211*'Walgreens National Payments'!I$22</f>
        <v>31509.533607742364</v>
      </c>
      <c r="L211" s="25">
        <f>$B211*'Walgreens National Payments'!J$22</f>
        <v>47736.885334866703</v>
      </c>
      <c r="M211" s="25">
        <f>$B211*'Walgreens National Payments'!K$22</f>
        <v>47736.885334866703</v>
      </c>
      <c r="N211" s="25">
        <f>$B211*'Walgreens National Payments'!L$22</f>
        <v>47736.885334866703</v>
      </c>
      <c r="O211" s="25">
        <f>$B211*'Walgreens National Payments'!M$22</f>
        <v>47736.885334866703</v>
      </c>
      <c r="P211" s="25">
        <f>$B211*'Walgreens National Payments'!N$22</f>
        <v>47736.885334866703</v>
      </c>
      <c r="Q211" s="25">
        <f>$B211*'Walgreens National Payments'!O$22</f>
        <v>47736.885334866703</v>
      </c>
      <c r="R211" s="25">
        <f>$B211*'Walgreens National Payments'!P$22</f>
        <v>47736.885334866703</v>
      </c>
      <c r="S211" s="25">
        <f>$B211*'Walgreens National Payments'!Q$22</f>
        <v>47736.885334866703</v>
      </c>
      <c r="T211" s="26" t="s">
        <v>346</v>
      </c>
      <c r="U211" s="26">
        <f t="shared" si="11"/>
        <v>618039.97071764548</v>
      </c>
    </row>
    <row r="212" spans="1:21" x14ac:dyDescent="0.35">
      <c r="A212" s="3" t="s">
        <v>234</v>
      </c>
      <c r="B212" s="16">
        <v>3.587611178190589E-4</v>
      </c>
      <c r="C212" s="8" t="s">
        <v>235</v>
      </c>
      <c r="D212" s="33" t="str">
        <f t="shared" si="12"/>
        <v>No</v>
      </c>
      <c r="E212" s="25">
        <v>1754.21</v>
      </c>
      <c r="F212" s="25">
        <v>973.58</v>
      </c>
      <c r="G212" s="25">
        <f>$B212*'Walgreens National Payments'!E$22</f>
        <v>1275.6974679928385</v>
      </c>
      <c r="H212" s="25">
        <f>$B212*'Walgreens National Payments'!F$22</f>
        <v>1275.6974679928385</v>
      </c>
      <c r="I212" s="25">
        <f>$B212*'Walgreens National Payments'!G$22</f>
        <v>1275.6974679928385</v>
      </c>
      <c r="J212" s="25">
        <f>$B212*'Walgreens National Payments'!H$22</f>
        <v>1275.6974679928385</v>
      </c>
      <c r="K212" s="25">
        <f>$B212*'Walgreens National Payments'!I$22</f>
        <v>1275.6974679928385</v>
      </c>
      <c r="L212" s="25">
        <f>$B212*'Walgreens National Payments'!J$22</f>
        <v>1932.6793125427409</v>
      </c>
      <c r="M212" s="25">
        <f>$B212*'Walgreens National Payments'!K$22</f>
        <v>1932.6793125427409</v>
      </c>
      <c r="N212" s="25">
        <f>$B212*'Walgreens National Payments'!L$22</f>
        <v>1932.6793125427409</v>
      </c>
      <c r="O212" s="25">
        <f>$B212*'Walgreens National Payments'!M$22</f>
        <v>1932.6793125427409</v>
      </c>
      <c r="P212" s="25">
        <f>$B212*'Walgreens National Payments'!N$22</f>
        <v>1932.6793125427409</v>
      </c>
      <c r="Q212" s="25">
        <f>$B212*'Walgreens National Payments'!O$22</f>
        <v>1932.6793125427409</v>
      </c>
      <c r="R212" s="25">
        <f>$B212*'Walgreens National Payments'!P$22</f>
        <v>1932.6793125427409</v>
      </c>
      <c r="S212" s="25">
        <f>$B212*'Walgreens National Payments'!Q$22</f>
        <v>1932.6793125427409</v>
      </c>
      <c r="T212" s="26" t="s">
        <v>346</v>
      </c>
      <c r="U212" s="26">
        <f t="shared" si="11"/>
        <v>24567.711840306114</v>
      </c>
    </row>
    <row r="213" spans="1:21" x14ac:dyDescent="0.35">
      <c r="A213" s="3" t="s">
        <v>34</v>
      </c>
      <c r="B213" s="16">
        <v>1.3184908745622357E-4</v>
      </c>
      <c r="C213" s="8" t="s">
        <v>236</v>
      </c>
      <c r="D213" s="33" t="str">
        <f t="shared" si="12"/>
        <v>No</v>
      </c>
      <c r="E213" s="25">
        <v>644.69000000000005</v>
      </c>
      <c r="F213" s="25">
        <v>357.8</v>
      </c>
      <c r="G213" s="25">
        <f>$B213*'Walgreens National Payments'!E$22</f>
        <v>468.83438218603754</v>
      </c>
      <c r="H213" s="25">
        <f>$B213*'Walgreens National Payments'!F$22</f>
        <v>468.83438218603754</v>
      </c>
      <c r="I213" s="25">
        <f>$B213*'Walgreens National Payments'!G$22</f>
        <v>468.83438218603754</v>
      </c>
      <c r="J213" s="25">
        <f>$B213*'Walgreens National Payments'!H$22</f>
        <v>468.83438218603754</v>
      </c>
      <c r="K213" s="25">
        <f>$B213*'Walgreens National Payments'!I$22</f>
        <v>468.83438218603754</v>
      </c>
      <c r="L213" s="25">
        <f>$B213*'Walgreens National Payments'!J$22</f>
        <v>710.28322481925522</v>
      </c>
      <c r="M213" s="25">
        <f>$B213*'Walgreens National Payments'!K$22</f>
        <v>710.28322481925522</v>
      </c>
      <c r="N213" s="25">
        <f>$B213*'Walgreens National Payments'!L$22</f>
        <v>710.28322481925522</v>
      </c>
      <c r="O213" s="25">
        <f>$B213*'Walgreens National Payments'!M$22</f>
        <v>710.28322481925522</v>
      </c>
      <c r="P213" s="25">
        <f>$B213*'Walgreens National Payments'!N$22</f>
        <v>710.28322481925522</v>
      </c>
      <c r="Q213" s="25">
        <f>$B213*'Walgreens National Payments'!O$22</f>
        <v>710.28322481925522</v>
      </c>
      <c r="R213" s="25">
        <f>$B213*'Walgreens National Payments'!P$22</f>
        <v>710.28322481925522</v>
      </c>
      <c r="S213" s="25">
        <f>$B213*'Walgreens National Payments'!Q$22</f>
        <v>710.28322481925522</v>
      </c>
      <c r="T213" s="26" t="s">
        <v>346</v>
      </c>
      <c r="U213" s="26">
        <f t="shared" si="11"/>
        <v>9028.9277094842291</v>
      </c>
    </row>
    <row r="214" spans="1:21" x14ac:dyDescent="0.35">
      <c r="A214" s="3" t="s">
        <v>24</v>
      </c>
      <c r="B214" s="16">
        <v>4.1475564429802469E-5</v>
      </c>
      <c r="C214" s="8" t="s">
        <v>237</v>
      </c>
      <c r="D214" s="33" t="str">
        <f t="shared" si="12"/>
        <v>Yes</v>
      </c>
      <c r="E214" s="25">
        <v>3002</v>
      </c>
      <c r="F214" s="48">
        <v>0</v>
      </c>
      <c r="G214" s="102">
        <v>0</v>
      </c>
      <c r="H214" s="102">
        <v>0</v>
      </c>
      <c r="I214" s="102">
        <v>0</v>
      </c>
      <c r="J214" s="102">
        <v>0</v>
      </c>
      <c r="K214" s="102">
        <v>0</v>
      </c>
      <c r="L214" s="102">
        <v>0</v>
      </c>
      <c r="M214" s="102">
        <v>0</v>
      </c>
      <c r="N214" s="102">
        <v>0</v>
      </c>
      <c r="O214" s="102">
        <v>0</v>
      </c>
      <c r="P214" s="102">
        <v>0</v>
      </c>
      <c r="Q214" s="102">
        <v>0</v>
      </c>
      <c r="R214" s="102">
        <v>0</v>
      </c>
      <c r="S214" s="102">
        <v>0</v>
      </c>
      <c r="T214" s="26" t="s">
        <v>346</v>
      </c>
      <c r="U214" s="26">
        <f t="shared" si="11"/>
        <v>3002</v>
      </c>
    </row>
    <row r="215" spans="1:21" x14ac:dyDescent="0.35">
      <c r="A215" s="3" t="s">
        <v>28</v>
      </c>
      <c r="B215" s="16">
        <v>2.8482037360000003E-4</v>
      </c>
      <c r="C215" s="8" t="s">
        <v>238</v>
      </c>
      <c r="D215" s="33" t="str">
        <f t="shared" si="12"/>
        <v>No</v>
      </c>
      <c r="E215" s="25">
        <v>1392.67</v>
      </c>
      <c r="F215" s="25">
        <v>772.93</v>
      </c>
      <c r="G215" s="25">
        <f>$B215*'Walgreens National Payments'!E$22</f>
        <v>1012.7759430651208</v>
      </c>
      <c r="H215" s="25">
        <f>$B215*'Walgreens National Payments'!F$22</f>
        <v>1012.7759430651208</v>
      </c>
      <c r="I215" s="25">
        <f>$B215*'Walgreens National Payments'!G$22</f>
        <v>1012.7759430651208</v>
      </c>
      <c r="J215" s="25">
        <f>$B215*'Walgreens National Payments'!H$22</f>
        <v>1012.7759430651208</v>
      </c>
      <c r="K215" s="25">
        <f>$B215*'Walgreens National Payments'!I$22</f>
        <v>1012.7759430651208</v>
      </c>
      <c r="L215" s="25">
        <f>$B215*'Walgreens National Payments'!J$22</f>
        <v>1534.3536869149862</v>
      </c>
      <c r="M215" s="25">
        <f>$B215*'Walgreens National Payments'!K$22</f>
        <v>1534.3536869149862</v>
      </c>
      <c r="N215" s="25">
        <f>$B215*'Walgreens National Payments'!L$22</f>
        <v>1534.3536869149862</v>
      </c>
      <c r="O215" s="25">
        <f>$B215*'Walgreens National Payments'!M$22</f>
        <v>1534.3536869149862</v>
      </c>
      <c r="P215" s="25">
        <f>$B215*'Walgreens National Payments'!N$22</f>
        <v>1534.3536869149862</v>
      </c>
      <c r="Q215" s="25">
        <f>$B215*'Walgreens National Payments'!O$22</f>
        <v>1534.3536869149862</v>
      </c>
      <c r="R215" s="25">
        <f>$B215*'Walgreens National Payments'!P$22</f>
        <v>1534.3536869149862</v>
      </c>
      <c r="S215" s="25">
        <f>$B215*'Walgreens National Payments'!Q$22</f>
        <v>1534.3536869149862</v>
      </c>
      <c r="T215" s="26" t="s">
        <v>346</v>
      </c>
      <c r="U215" s="26">
        <f t="shared" si="11"/>
        <v>19504.309210645493</v>
      </c>
    </row>
    <row r="216" spans="1:21" x14ac:dyDescent="0.35">
      <c r="A216" s="3" t="s">
        <v>14</v>
      </c>
      <c r="B216" s="16">
        <v>8.7988886930075511E-5</v>
      </c>
      <c r="C216" s="8" t="s">
        <v>239</v>
      </c>
      <c r="D216" s="33" t="str">
        <f t="shared" si="12"/>
        <v>No</v>
      </c>
      <c r="E216" s="25">
        <v>430.23</v>
      </c>
      <c r="F216" s="25">
        <v>238.78</v>
      </c>
      <c r="G216" s="25">
        <f>$B216*'Walgreens National Payments'!E$22</f>
        <v>312.87448581542588</v>
      </c>
      <c r="H216" s="25">
        <f>$B216*'Walgreens National Payments'!F$22</f>
        <v>312.87448581542588</v>
      </c>
      <c r="I216" s="25">
        <f>$B216*'Walgreens National Payments'!G$22</f>
        <v>312.87448581542588</v>
      </c>
      <c r="J216" s="25">
        <f>$B216*'Walgreens National Payments'!H$22</f>
        <v>312.87448581542588</v>
      </c>
      <c r="K216" s="25">
        <f>$B216*'Walgreens National Payments'!I$22</f>
        <v>312.87448581542588</v>
      </c>
      <c r="L216" s="25">
        <f>$B216*'Walgreens National Payments'!J$22</f>
        <v>474.00426929538713</v>
      </c>
      <c r="M216" s="25">
        <f>$B216*'Walgreens National Payments'!K$22</f>
        <v>474.00426929538713</v>
      </c>
      <c r="N216" s="25">
        <f>$B216*'Walgreens National Payments'!L$22</f>
        <v>474.00426929538713</v>
      </c>
      <c r="O216" s="25">
        <f>$B216*'Walgreens National Payments'!M$22</f>
        <v>474.00426929538713</v>
      </c>
      <c r="P216" s="25">
        <f>$B216*'Walgreens National Payments'!N$22</f>
        <v>474.00426929538713</v>
      </c>
      <c r="Q216" s="25">
        <f>$B216*'Walgreens National Payments'!O$22</f>
        <v>474.00426929538713</v>
      </c>
      <c r="R216" s="25">
        <f>$B216*'Walgreens National Payments'!P$22</f>
        <v>474.00426929538713</v>
      </c>
      <c r="S216" s="25">
        <f>$B216*'Walgreens National Payments'!Q$22</f>
        <v>474.00426929538713</v>
      </c>
      <c r="T216" s="26" t="s">
        <v>346</v>
      </c>
      <c r="U216" s="26">
        <f t="shared" si="11"/>
        <v>6025.4165834402284</v>
      </c>
    </row>
    <row r="217" spans="1:21" x14ac:dyDescent="0.35">
      <c r="A217" s="3" t="s">
        <v>22</v>
      </c>
      <c r="B217" s="16">
        <v>3.6990834623853557E-4</v>
      </c>
      <c r="C217" s="8" t="s">
        <v>240</v>
      </c>
      <c r="D217" s="33" t="str">
        <f t="shared" si="12"/>
        <v>No</v>
      </c>
      <c r="E217" s="25">
        <v>1808.72</v>
      </c>
      <c r="F217" s="25">
        <v>1003.83</v>
      </c>
      <c r="G217" s="25">
        <f>$B217*'Walgreens National Payments'!E$22</f>
        <v>1315.3352390988932</v>
      </c>
      <c r="H217" s="25">
        <f>$B217*'Walgreens National Payments'!F$22</f>
        <v>1315.3352390988932</v>
      </c>
      <c r="I217" s="25">
        <f>$B217*'Walgreens National Payments'!G$22</f>
        <v>1315.3352390988932</v>
      </c>
      <c r="J217" s="25">
        <f>$B217*'Walgreens National Payments'!H$22</f>
        <v>1315.3352390988932</v>
      </c>
      <c r="K217" s="25">
        <f>$B217*'Walgreens National Payments'!I$22</f>
        <v>1315.3352390988932</v>
      </c>
      <c r="L217" s="25">
        <f>$B217*'Walgreens National Payments'!J$22</f>
        <v>1992.7304627049411</v>
      </c>
      <c r="M217" s="25">
        <f>$B217*'Walgreens National Payments'!K$22</f>
        <v>1992.7304627049411</v>
      </c>
      <c r="N217" s="25">
        <f>$B217*'Walgreens National Payments'!L$22</f>
        <v>1992.7304627049411</v>
      </c>
      <c r="O217" s="25">
        <f>$B217*'Walgreens National Payments'!M$22</f>
        <v>1992.7304627049411</v>
      </c>
      <c r="P217" s="25">
        <f>$B217*'Walgreens National Payments'!N$22</f>
        <v>1992.7304627049411</v>
      </c>
      <c r="Q217" s="25">
        <f>$B217*'Walgreens National Payments'!O$22</f>
        <v>1992.7304627049411</v>
      </c>
      <c r="R217" s="25">
        <f>$B217*'Walgreens National Payments'!P$22</f>
        <v>1992.7304627049411</v>
      </c>
      <c r="S217" s="25">
        <f>$B217*'Walgreens National Payments'!Q$22</f>
        <v>1992.7304627049411</v>
      </c>
      <c r="T217" s="26" t="s">
        <v>346</v>
      </c>
      <c r="U217" s="26">
        <f t="shared" si="11"/>
        <v>25331.069897133999</v>
      </c>
    </row>
    <row r="218" spans="1:21" x14ac:dyDescent="0.35">
      <c r="A218" s="3" t="s">
        <v>34</v>
      </c>
      <c r="B218" s="16">
        <v>3.3688147393600002E-3</v>
      </c>
      <c r="C218" s="8" t="s">
        <v>241</v>
      </c>
      <c r="D218" s="33" t="str">
        <f t="shared" si="12"/>
        <v>No</v>
      </c>
      <c r="E218" s="25">
        <v>16472.29</v>
      </c>
      <c r="F218" s="25">
        <v>9142.08</v>
      </c>
      <c r="G218" s="25">
        <f>$B218*'Walgreens National Payments'!E$22</f>
        <v>11978.969346689331</v>
      </c>
      <c r="H218" s="25">
        <f>$B218*'Walgreens National Payments'!F$22</f>
        <v>11978.969346689331</v>
      </c>
      <c r="I218" s="25">
        <f>$B218*'Walgreens National Payments'!G$22</f>
        <v>11978.969346689331</v>
      </c>
      <c r="J218" s="25">
        <f>$B218*'Walgreens National Payments'!H$22</f>
        <v>11978.969346689331</v>
      </c>
      <c r="K218" s="25">
        <f>$B218*'Walgreens National Payments'!I$22</f>
        <v>11978.969346689331</v>
      </c>
      <c r="L218" s="25">
        <f>$B218*'Walgreens National Payments'!J$22</f>
        <v>18148.116479651173</v>
      </c>
      <c r="M218" s="25">
        <f>$B218*'Walgreens National Payments'!K$22</f>
        <v>18148.116479651173</v>
      </c>
      <c r="N218" s="25">
        <f>$B218*'Walgreens National Payments'!L$22</f>
        <v>18148.116479651173</v>
      </c>
      <c r="O218" s="25">
        <f>$B218*'Walgreens National Payments'!M$22</f>
        <v>18148.116479651173</v>
      </c>
      <c r="P218" s="25">
        <f>$B218*'Walgreens National Payments'!N$22</f>
        <v>18148.116479651173</v>
      </c>
      <c r="Q218" s="25">
        <f>$B218*'Walgreens National Payments'!O$22</f>
        <v>18148.116479651173</v>
      </c>
      <c r="R218" s="25">
        <f>$B218*'Walgreens National Payments'!P$22</f>
        <v>18148.116479651173</v>
      </c>
      <c r="S218" s="25">
        <f>$B218*'Walgreens National Payments'!Q$22</f>
        <v>18148.116479651173</v>
      </c>
      <c r="T218" s="26" t="s">
        <v>346</v>
      </c>
      <c r="U218" s="26">
        <f t="shared" si="11"/>
        <v>230694.14857065614</v>
      </c>
    </row>
    <row r="219" spans="1:21" x14ac:dyDescent="0.35">
      <c r="A219" s="3" t="s">
        <v>121</v>
      </c>
      <c r="B219" s="16">
        <v>8.6247881362653192E-5</v>
      </c>
      <c r="C219" s="8" t="s">
        <v>242</v>
      </c>
      <c r="D219" s="33" t="str">
        <f t="shared" si="12"/>
        <v>No</v>
      </c>
      <c r="E219" s="25">
        <v>421.72</v>
      </c>
      <c r="F219" s="25">
        <v>234.05</v>
      </c>
      <c r="G219" s="25">
        <f>$B219*'Walgreens National Payments'!E$22</f>
        <v>306.68374695380197</v>
      </c>
      <c r="H219" s="25">
        <f>$B219*'Walgreens National Payments'!F$22</f>
        <v>306.68374695380197</v>
      </c>
      <c r="I219" s="25">
        <f>$B219*'Walgreens National Payments'!G$22</f>
        <v>306.68374695380197</v>
      </c>
      <c r="J219" s="25">
        <f>$B219*'Walgreens National Payments'!H$22</f>
        <v>306.68374695380197</v>
      </c>
      <c r="K219" s="25">
        <f>$B219*'Walgreens National Payments'!I$22</f>
        <v>306.68374695380197</v>
      </c>
      <c r="L219" s="25">
        <f>$B219*'Walgreens National Payments'!J$22</f>
        <v>464.62531133128613</v>
      </c>
      <c r="M219" s="25">
        <f>$B219*'Walgreens National Payments'!K$22</f>
        <v>464.62531133128613</v>
      </c>
      <c r="N219" s="25">
        <f>$B219*'Walgreens National Payments'!L$22</f>
        <v>464.62531133128613</v>
      </c>
      <c r="O219" s="25">
        <f>$B219*'Walgreens National Payments'!M$22</f>
        <v>464.62531133128613</v>
      </c>
      <c r="P219" s="25">
        <f>$B219*'Walgreens National Payments'!N$22</f>
        <v>464.62531133128613</v>
      </c>
      <c r="Q219" s="25">
        <f>$B219*'Walgreens National Payments'!O$22</f>
        <v>464.62531133128613</v>
      </c>
      <c r="R219" s="25">
        <f>$B219*'Walgreens National Payments'!P$22</f>
        <v>464.62531133128613</v>
      </c>
      <c r="S219" s="25">
        <f>$B219*'Walgreens National Payments'!Q$22</f>
        <v>464.62531133128613</v>
      </c>
      <c r="T219" s="26" t="s">
        <v>346</v>
      </c>
      <c r="U219" s="26">
        <f t="shared" si="11"/>
        <v>5906.1912254192976</v>
      </c>
    </row>
    <row r="220" spans="1:21" x14ac:dyDescent="0.35">
      <c r="A220" s="3" t="s">
        <v>121</v>
      </c>
      <c r="B220" s="16">
        <v>1.5570980204524306E-3</v>
      </c>
      <c r="C220" s="8" t="s">
        <v>243</v>
      </c>
      <c r="D220" s="33" t="str">
        <f t="shared" si="12"/>
        <v>No</v>
      </c>
      <c r="E220" s="25">
        <v>7613.65</v>
      </c>
      <c r="F220" s="25">
        <v>4225.55</v>
      </c>
      <c r="G220" s="25">
        <f>$B220*'Walgreens National Payments'!E$22</f>
        <v>5536.7928781782311</v>
      </c>
      <c r="H220" s="25">
        <f>$B220*'Walgreens National Payments'!F$22</f>
        <v>5536.7928781782311</v>
      </c>
      <c r="I220" s="25">
        <f>$B220*'Walgreens National Payments'!G$22</f>
        <v>5536.7928781782311</v>
      </c>
      <c r="J220" s="25">
        <f>$B220*'Walgreens National Payments'!H$22</f>
        <v>5536.7928781782311</v>
      </c>
      <c r="K220" s="25">
        <f>$B220*'Walgreens National Payments'!I$22</f>
        <v>5536.7928781782311</v>
      </c>
      <c r="L220" s="25">
        <f>$B220*'Walgreens National Payments'!J$22</f>
        <v>8388.2310045857375</v>
      </c>
      <c r="M220" s="25">
        <f>$B220*'Walgreens National Payments'!K$22</f>
        <v>8388.2310045857375</v>
      </c>
      <c r="N220" s="25">
        <f>$B220*'Walgreens National Payments'!L$22</f>
        <v>8388.2310045857375</v>
      </c>
      <c r="O220" s="25">
        <f>$B220*'Walgreens National Payments'!M$22</f>
        <v>8388.2310045857375</v>
      </c>
      <c r="P220" s="25">
        <f>$B220*'Walgreens National Payments'!N$22</f>
        <v>8388.2310045857375</v>
      </c>
      <c r="Q220" s="25">
        <f>$B220*'Walgreens National Payments'!O$22</f>
        <v>8388.2310045857375</v>
      </c>
      <c r="R220" s="25">
        <f>$B220*'Walgreens National Payments'!P$22</f>
        <v>8388.2310045857375</v>
      </c>
      <c r="S220" s="25">
        <f>$B220*'Walgreens National Payments'!Q$22</f>
        <v>8388.2310045857375</v>
      </c>
      <c r="T220" s="26" t="s">
        <v>346</v>
      </c>
      <c r="U220" s="26">
        <f t="shared" si="11"/>
        <v>106629.01242757708</v>
      </c>
    </row>
    <row r="221" spans="1:21" x14ac:dyDescent="0.35">
      <c r="A221" s="3" t="s">
        <v>83</v>
      </c>
      <c r="B221" s="16">
        <v>5.8689546567199742E-4</v>
      </c>
      <c r="C221" s="8" t="s">
        <v>244</v>
      </c>
      <c r="D221" s="33" t="str">
        <f t="shared" si="12"/>
        <v>No</v>
      </c>
      <c r="E221" s="25">
        <v>2869.71</v>
      </c>
      <c r="F221" s="25">
        <v>1592.68</v>
      </c>
      <c r="G221" s="25">
        <f>$B221*'Walgreens National Payments'!E$22</f>
        <v>2086.9069203643526</v>
      </c>
      <c r="H221" s="25">
        <f>$B221*'Walgreens National Payments'!F$22</f>
        <v>2086.9069203643526</v>
      </c>
      <c r="I221" s="25">
        <f>$B221*'Walgreens National Payments'!G$22</f>
        <v>2086.9069203643526</v>
      </c>
      <c r="J221" s="25">
        <f>$B221*'Walgreens National Payments'!H$22</f>
        <v>2086.9069203643526</v>
      </c>
      <c r="K221" s="25">
        <f>$B221*'Walgreens National Payments'!I$22</f>
        <v>2086.9069203643526</v>
      </c>
      <c r="L221" s="25">
        <f>$B221*'Walgreens National Payments'!J$22</f>
        <v>3161.6601376002013</v>
      </c>
      <c r="M221" s="25">
        <f>$B221*'Walgreens National Payments'!K$22</f>
        <v>3161.6601376002013</v>
      </c>
      <c r="N221" s="25">
        <f>$B221*'Walgreens National Payments'!L$22</f>
        <v>3161.6601376002013</v>
      </c>
      <c r="O221" s="25">
        <f>$B221*'Walgreens National Payments'!M$22</f>
        <v>3161.6601376002013</v>
      </c>
      <c r="P221" s="25">
        <f>$B221*'Walgreens National Payments'!N$22</f>
        <v>3161.6601376002013</v>
      </c>
      <c r="Q221" s="25">
        <f>$B221*'Walgreens National Payments'!O$22</f>
        <v>3161.6601376002013</v>
      </c>
      <c r="R221" s="25">
        <f>$B221*'Walgreens National Payments'!P$22</f>
        <v>3161.6601376002013</v>
      </c>
      <c r="S221" s="25">
        <f>$B221*'Walgreens National Payments'!Q$22</f>
        <v>3161.6601376002013</v>
      </c>
      <c r="T221" s="26" t="s">
        <v>346</v>
      </c>
      <c r="U221" s="26">
        <f t="shared" si="11"/>
        <v>40190.205702623367</v>
      </c>
    </row>
    <row r="222" spans="1:21" x14ac:dyDescent="0.35">
      <c r="A222" s="3" t="s">
        <v>245</v>
      </c>
      <c r="B222" s="16">
        <v>1.6298467953600002E-3</v>
      </c>
      <c r="C222" s="8" t="s">
        <v>245</v>
      </c>
      <c r="D222" s="33" t="str">
        <f t="shared" si="12"/>
        <v>No</v>
      </c>
      <c r="E222" s="25">
        <v>7969.37</v>
      </c>
      <c r="F222" s="25">
        <v>4422.9799999999996</v>
      </c>
      <c r="G222" s="25">
        <f>$B222*'Walgreens National Payments'!E$22</f>
        <v>5795.4759498369995</v>
      </c>
      <c r="H222" s="25">
        <f>$B222*'Walgreens National Payments'!F$22</f>
        <v>5795.4759498369995</v>
      </c>
      <c r="I222" s="25">
        <f>$B222*'Walgreens National Payments'!G$22</f>
        <v>5795.4759498369995</v>
      </c>
      <c r="J222" s="25">
        <f>$B222*'Walgreens National Payments'!H$22</f>
        <v>5795.4759498369995</v>
      </c>
      <c r="K222" s="25">
        <f>$B222*'Walgreens National Payments'!I$22</f>
        <v>5795.4759498369995</v>
      </c>
      <c r="L222" s="25">
        <f>$B222*'Walgreens National Payments'!J$22</f>
        <v>8780.1353813236874</v>
      </c>
      <c r="M222" s="25">
        <f>$B222*'Walgreens National Payments'!K$22</f>
        <v>8780.1353813236874</v>
      </c>
      <c r="N222" s="25">
        <f>$B222*'Walgreens National Payments'!L$22</f>
        <v>8780.1353813236874</v>
      </c>
      <c r="O222" s="25">
        <f>$B222*'Walgreens National Payments'!M$22</f>
        <v>8780.1353813236874</v>
      </c>
      <c r="P222" s="25">
        <f>$B222*'Walgreens National Payments'!N$22</f>
        <v>8780.1353813236874</v>
      </c>
      <c r="Q222" s="25">
        <f>$B222*'Walgreens National Payments'!O$22</f>
        <v>8780.1353813236874</v>
      </c>
      <c r="R222" s="25">
        <f>$B222*'Walgreens National Payments'!P$22</f>
        <v>8780.1353813236874</v>
      </c>
      <c r="S222" s="25">
        <f>$B222*'Walgreens National Payments'!Q$22</f>
        <v>8780.1353813236874</v>
      </c>
      <c r="T222" s="26" t="s">
        <v>346</v>
      </c>
      <c r="U222" s="26">
        <f t="shared" si="11"/>
        <v>111610.81279977452</v>
      </c>
    </row>
    <row r="223" spans="1:21" x14ac:dyDescent="0.35">
      <c r="A223" s="3" t="s">
        <v>22</v>
      </c>
      <c r="B223" s="16">
        <v>1.2666525541676524E-3</v>
      </c>
      <c r="C223" s="8" t="s">
        <v>246</v>
      </c>
      <c r="D223" s="33" t="str">
        <f t="shared" si="12"/>
        <v>No</v>
      </c>
      <c r="E223" s="25">
        <v>6193.48</v>
      </c>
      <c r="F223" s="25">
        <v>3437.36</v>
      </c>
      <c r="G223" s="25">
        <f>$B223*'Walgreens National Payments'!E$22</f>
        <v>4504.015000291356</v>
      </c>
      <c r="H223" s="25">
        <f>$B223*'Walgreens National Payments'!F$22</f>
        <v>4504.015000291356</v>
      </c>
      <c r="I223" s="25">
        <f>$B223*'Walgreens National Payments'!G$22</f>
        <v>4504.015000291356</v>
      </c>
      <c r="J223" s="25">
        <f>$B223*'Walgreens National Payments'!H$22</f>
        <v>4504.015000291356</v>
      </c>
      <c r="K223" s="25">
        <f>$B223*'Walgreens National Payments'!I$22</f>
        <v>4504.015000291356</v>
      </c>
      <c r="L223" s="25">
        <f>$B223*'Walgreens National Payments'!J$22</f>
        <v>6823.5744232849402</v>
      </c>
      <c r="M223" s="25">
        <f>$B223*'Walgreens National Payments'!K$22</f>
        <v>6823.5744232849402</v>
      </c>
      <c r="N223" s="25">
        <f>$B223*'Walgreens National Payments'!L$22</f>
        <v>6823.5744232849402</v>
      </c>
      <c r="O223" s="25">
        <f>$B223*'Walgreens National Payments'!M$22</f>
        <v>6823.5744232849402</v>
      </c>
      <c r="P223" s="25">
        <f>$B223*'Walgreens National Payments'!N$22</f>
        <v>6823.5744232849402</v>
      </c>
      <c r="Q223" s="25">
        <f>$B223*'Walgreens National Payments'!O$22</f>
        <v>6823.5744232849402</v>
      </c>
      <c r="R223" s="25">
        <f>$B223*'Walgreens National Payments'!P$22</f>
        <v>6823.5744232849402</v>
      </c>
      <c r="S223" s="25">
        <f>$B223*'Walgreens National Payments'!Q$22</f>
        <v>6823.5744232849402</v>
      </c>
      <c r="T223" s="26" t="s">
        <v>346</v>
      </c>
      <c r="U223" s="26">
        <f t="shared" si="11"/>
        <v>86739.5103877363</v>
      </c>
    </row>
    <row r="224" spans="1:21" x14ac:dyDescent="0.35">
      <c r="A224" s="3" t="s">
        <v>22</v>
      </c>
      <c r="B224" s="16">
        <v>2.8839077355712506E-4</v>
      </c>
      <c r="C224" s="8" t="s">
        <v>247</v>
      </c>
      <c r="D224" s="33" t="str">
        <f t="shared" si="12"/>
        <v>No</v>
      </c>
      <c r="E224" s="25">
        <v>1410.13</v>
      </c>
      <c r="F224" s="25">
        <v>782.62</v>
      </c>
      <c r="G224" s="25">
        <f>$B224*'Walgreens National Payments'!E$22</f>
        <v>1025.4717173806735</v>
      </c>
      <c r="H224" s="25">
        <f>$B224*'Walgreens National Payments'!F$22</f>
        <v>1025.4717173806735</v>
      </c>
      <c r="I224" s="25">
        <f>$B224*'Walgreens National Payments'!G$22</f>
        <v>1025.4717173806735</v>
      </c>
      <c r="J224" s="25">
        <f>$B224*'Walgreens National Payments'!H$22</f>
        <v>1025.4717173806735</v>
      </c>
      <c r="K224" s="25">
        <f>$B224*'Walgreens National Payments'!I$22</f>
        <v>1025.4717173806735</v>
      </c>
      <c r="L224" s="25">
        <f>$B224*'Walgreens National Payments'!J$22</f>
        <v>1553.5877616011935</v>
      </c>
      <c r="M224" s="25">
        <f>$B224*'Walgreens National Payments'!K$22</f>
        <v>1553.5877616011935</v>
      </c>
      <c r="N224" s="25">
        <f>$B224*'Walgreens National Payments'!L$22</f>
        <v>1553.5877616011935</v>
      </c>
      <c r="O224" s="25">
        <f>$B224*'Walgreens National Payments'!M$22</f>
        <v>1553.5877616011935</v>
      </c>
      <c r="P224" s="25">
        <f>$B224*'Walgreens National Payments'!N$22</f>
        <v>1553.5877616011935</v>
      </c>
      <c r="Q224" s="25">
        <f>$B224*'Walgreens National Payments'!O$22</f>
        <v>1553.5877616011935</v>
      </c>
      <c r="R224" s="25">
        <f>$B224*'Walgreens National Payments'!P$22</f>
        <v>1553.5877616011935</v>
      </c>
      <c r="S224" s="25">
        <f>$B224*'Walgreens National Payments'!Q$22</f>
        <v>1553.5877616011935</v>
      </c>
      <c r="T224" s="26" t="s">
        <v>346</v>
      </c>
      <c r="U224" s="26">
        <f t="shared" si="11"/>
        <v>19748.810679712911</v>
      </c>
    </row>
    <row r="225" spans="1:21" x14ac:dyDescent="0.35">
      <c r="A225" s="3" t="s">
        <v>34</v>
      </c>
      <c r="B225" s="16">
        <v>2.3853655851105939E-4</v>
      </c>
      <c r="C225" s="8" t="s">
        <v>248</v>
      </c>
      <c r="D225" s="33" t="str">
        <f t="shared" si="12"/>
        <v>No</v>
      </c>
      <c r="E225" s="25">
        <v>1166.3599999999999</v>
      </c>
      <c r="F225" s="25">
        <v>647.33000000000004</v>
      </c>
      <c r="G225" s="25">
        <f>$B225*'Walgreens National Payments'!E$22</f>
        <v>848.19805882575577</v>
      </c>
      <c r="H225" s="25">
        <f>$B225*'Walgreens National Payments'!F$22</f>
        <v>848.19805882575577</v>
      </c>
      <c r="I225" s="25">
        <f>$B225*'Walgreens National Payments'!G$22</f>
        <v>848.19805882575577</v>
      </c>
      <c r="J225" s="25">
        <f>$B225*'Walgreens National Payments'!H$22</f>
        <v>848.19805882575577</v>
      </c>
      <c r="K225" s="25">
        <f>$B225*'Walgreens National Payments'!I$22</f>
        <v>848.19805882575577</v>
      </c>
      <c r="L225" s="25">
        <f>$B225*'Walgreens National Payments'!J$22</f>
        <v>1285.018495655313</v>
      </c>
      <c r="M225" s="25">
        <f>$B225*'Walgreens National Payments'!K$22</f>
        <v>1285.018495655313</v>
      </c>
      <c r="N225" s="25">
        <f>$B225*'Walgreens National Payments'!L$22</f>
        <v>1285.018495655313</v>
      </c>
      <c r="O225" s="25">
        <f>$B225*'Walgreens National Payments'!M$22</f>
        <v>1285.018495655313</v>
      </c>
      <c r="P225" s="25">
        <f>$B225*'Walgreens National Payments'!N$22</f>
        <v>1285.018495655313</v>
      </c>
      <c r="Q225" s="25">
        <f>$B225*'Walgreens National Payments'!O$22</f>
        <v>1285.018495655313</v>
      </c>
      <c r="R225" s="25">
        <f>$B225*'Walgreens National Payments'!P$22</f>
        <v>1285.018495655313</v>
      </c>
      <c r="S225" s="25">
        <f>$B225*'Walgreens National Payments'!Q$22</f>
        <v>1285.018495655313</v>
      </c>
      <c r="T225" s="26" t="s">
        <v>346</v>
      </c>
      <c r="U225" s="26">
        <f t="shared" si="11"/>
        <v>16334.828259371283</v>
      </c>
    </row>
    <row r="226" spans="1:21" x14ac:dyDescent="0.35">
      <c r="A226" s="3" t="s">
        <v>34</v>
      </c>
      <c r="B226" s="16">
        <v>4.0386057204984545E-4</v>
      </c>
      <c r="C226" s="8" t="s">
        <v>249</v>
      </c>
      <c r="D226" s="33" t="str">
        <f t="shared" si="12"/>
        <v>No</v>
      </c>
      <c r="E226" s="25">
        <v>1974.73</v>
      </c>
      <c r="F226" s="25">
        <v>1095.97</v>
      </c>
      <c r="G226" s="25">
        <f>$B226*'Walgreens National Payments'!E$22</f>
        <v>1436.0639534130621</v>
      </c>
      <c r="H226" s="25">
        <f>$B226*'Walgreens National Payments'!F$22</f>
        <v>1436.0639534130621</v>
      </c>
      <c r="I226" s="25">
        <f>$B226*'Walgreens National Payments'!G$22</f>
        <v>1436.0639534130621</v>
      </c>
      <c r="J226" s="25">
        <f>$B226*'Walgreens National Payments'!H$22</f>
        <v>1436.0639534130621</v>
      </c>
      <c r="K226" s="25">
        <f>$B226*'Walgreens National Payments'!I$22</f>
        <v>1436.0639534130621</v>
      </c>
      <c r="L226" s="25">
        <f>$B226*'Walgreens National Payments'!J$22</f>
        <v>2175.6342423541982</v>
      </c>
      <c r="M226" s="25">
        <f>$B226*'Walgreens National Payments'!K$22</f>
        <v>2175.6342423541982</v>
      </c>
      <c r="N226" s="25">
        <f>$B226*'Walgreens National Payments'!L$22</f>
        <v>2175.6342423541982</v>
      </c>
      <c r="O226" s="25">
        <f>$B226*'Walgreens National Payments'!M$22</f>
        <v>2175.6342423541982</v>
      </c>
      <c r="P226" s="25">
        <f>$B226*'Walgreens National Payments'!N$22</f>
        <v>2175.6342423541982</v>
      </c>
      <c r="Q226" s="25">
        <f>$B226*'Walgreens National Payments'!O$22</f>
        <v>2175.6342423541982</v>
      </c>
      <c r="R226" s="25">
        <f>$B226*'Walgreens National Payments'!P$22</f>
        <v>2175.6342423541982</v>
      </c>
      <c r="S226" s="25">
        <f>$B226*'Walgreens National Payments'!Q$22</f>
        <v>2175.6342423541982</v>
      </c>
      <c r="T226" s="26" t="s">
        <v>346</v>
      </c>
      <c r="U226" s="26">
        <f t="shared" si="11"/>
        <v>27656.093705898889</v>
      </c>
    </row>
    <row r="227" spans="1:21" x14ac:dyDescent="0.35">
      <c r="A227" s="3" t="s">
        <v>22</v>
      </c>
      <c r="B227" s="16">
        <v>1.0430545820800002E-3</v>
      </c>
      <c r="C227" s="8" t="s">
        <v>250</v>
      </c>
      <c r="D227" s="33" t="str">
        <f t="shared" si="12"/>
        <v>No</v>
      </c>
      <c r="E227" s="25">
        <v>5100.16</v>
      </c>
      <c r="F227" s="25">
        <v>2830.58</v>
      </c>
      <c r="G227" s="25">
        <f>$B227*'Walgreens National Payments'!E$22</f>
        <v>3708.9361785545652</v>
      </c>
      <c r="H227" s="25">
        <f>$B227*'Walgreens National Payments'!F$22</f>
        <v>3708.9361785545652</v>
      </c>
      <c r="I227" s="25">
        <f>$B227*'Walgreens National Payments'!G$22</f>
        <v>3708.9361785545652</v>
      </c>
      <c r="J227" s="25">
        <f>$B227*'Walgreens National Payments'!H$22</f>
        <v>3708.9361785545652</v>
      </c>
      <c r="K227" s="25">
        <f>$B227*'Walgreens National Payments'!I$22</f>
        <v>3708.9361785545652</v>
      </c>
      <c r="L227" s="25">
        <f>$B227*'Walgreens National Payments'!J$22</f>
        <v>5619.0314739058331</v>
      </c>
      <c r="M227" s="25">
        <f>$B227*'Walgreens National Payments'!K$22</f>
        <v>5619.0314739058331</v>
      </c>
      <c r="N227" s="25">
        <f>$B227*'Walgreens National Payments'!L$22</f>
        <v>5619.0314739058331</v>
      </c>
      <c r="O227" s="25">
        <f>$B227*'Walgreens National Payments'!M$22</f>
        <v>5619.0314739058331</v>
      </c>
      <c r="P227" s="25">
        <f>$B227*'Walgreens National Payments'!N$22</f>
        <v>5619.0314739058331</v>
      </c>
      <c r="Q227" s="25">
        <f>$B227*'Walgreens National Payments'!O$22</f>
        <v>5619.0314739058331</v>
      </c>
      <c r="R227" s="25">
        <f>$B227*'Walgreens National Payments'!P$22</f>
        <v>5619.0314739058331</v>
      </c>
      <c r="S227" s="25">
        <f>$B227*'Walgreens National Payments'!Q$22</f>
        <v>5619.0314739058331</v>
      </c>
      <c r="T227" s="26" t="s">
        <v>346</v>
      </c>
      <c r="U227" s="26">
        <f t="shared" si="11"/>
        <v>71427.67268401949</v>
      </c>
    </row>
    <row r="228" spans="1:21" x14ac:dyDescent="0.35">
      <c r="A228" s="3" t="s">
        <v>251</v>
      </c>
      <c r="B228" s="16">
        <v>4.3018366798400001E-3</v>
      </c>
      <c r="C228" s="8" t="s">
        <v>251</v>
      </c>
      <c r="D228" s="33" t="str">
        <f t="shared" si="12"/>
        <v>No</v>
      </c>
      <c r="E228" s="25">
        <v>21034.44</v>
      </c>
      <c r="F228" s="25">
        <v>11674.05</v>
      </c>
      <c r="G228" s="25">
        <f>$B228*'Walgreens National Payments'!E$22</f>
        <v>15296.646954251042</v>
      </c>
      <c r="H228" s="25">
        <f>$B228*'Walgreens National Payments'!F$22</f>
        <v>15296.646954251042</v>
      </c>
      <c r="I228" s="25">
        <f>$B228*'Walgreens National Payments'!G$22</f>
        <v>15296.646954251042</v>
      </c>
      <c r="J228" s="25">
        <f>$B228*'Walgreens National Payments'!H$22</f>
        <v>15296.646954251042</v>
      </c>
      <c r="K228" s="25">
        <f>$B228*'Walgreens National Payments'!I$22</f>
        <v>15296.646954251042</v>
      </c>
      <c r="L228" s="25">
        <f>$B228*'Walgreens National Payments'!J$22</f>
        <v>23174.391939701556</v>
      </c>
      <c r="M228" s="25">
        <f>$B228*'Walgreens National Payments'!K$22</f>
        <v>23174.391939701556</v>
      </c>
      <c r="N228" s="25">
        <f>$B228*'Walgreens National Payments'!L$22</f>
        <v>23174.391939701556</v>
      </c>
      <c r="O228" s="25">
        <f>$B228*'Walgreens National Payments'!M$22</f>
        <v>23174.391939701556</v>
      </c>
      <c r="P228" s="25">
        <f>$B228*'Walgreens National Payments'!N$22</f>
        <v>23174.391939701556</v>
      </c>
      <c r="Q228" s="25">
        <f>$B228*'Walgreens National Payments'!O$22</f>
        <v>23174.391939701556</v>
      </c>
      <c r="R228" s="25">
        <f>$B228*'Walgreens National Payments'!P$22</f>
        <v>23174.391939701556</v>
      </c>
      <c r="S228" s="25">
        <f>$B228*'Walgreens National Payments'!Q$22</f>
        <v>23174.391939701556</v>
      </c>
      <c r="T228" s="26" t="s">
        <v>346</v>
      </c>
      <c r="U228" s="26">
        <f t="shared" si="11"/>
        <v>294586.86028886779</v>
      </c>
    </row>
    <row r="229" spans="1:21" x14ac:dyDescent="0.35">
      <c r="A229" s="3" t="s">
        <v>75</v>
      </c>
      <c r="B229" s="16">
        <v>2.5535928015214338E-3</v>
      </c>
      <c r="C229" s="8" t="s">
        <v>252</v>
      </c>
      <c r="D229" s="33" t="str">
        <f t="shared" si="12"/>
        <v>No</v>
      </c>
      <c r="E229" s="25">
        <v>12486.15</v>
      </c>
      <c r="F229" s="25">
        <v>6929.78</v>
      </c>
      <c r="G229" s="25">
        <f>$B229*'Walgreens National Payments'!E$22</f>
        <v>9080.1698104547868</v>
      </c>
      <c r="H229" s="25">
        <f>$B229*'Walgreens National Payments'!F$22</f>
        <v>9080.1698104547868</v>
      </c>
      <c r="I229" s="25">
        <f>$B229*'Walgreens National Payments'!G$22</f>
        <v>9080.1698104547868</v>
      </c>
      <c r="J229" s="25">
        <f>$B229*'Walgreens National Payments'!H$22</f>
        <v>9080.1698104547868</v>
      </c>
      <c r="K229" s="25">
        <f>$B229*'Walgreens National Payments'!I$22</f>
        <v>9080.1698104547868</v>
      </c>
      <c r="L229" s="25">
        <f>$B229*'Walgreens National Payments'!J$22</f>
        <v>13756.440525552276</v>
      </c>
      <c r="M229" s="25">
        <f>$B229*'Walgreens National Payments'!K$22</f>
        <v>13756.440525552276</v>
      </c>
      <c r="N229" s="25">
        <f>$B229*'Walgreens National Payments'!L$22</f>
        <v>13756.440525552276</v>
      </c>
      <c r="O229" s="25">
        <f>$B229*'Walgreens National Payments'!M$22</f>
        <v>13756.440525552276</v>
      </c>
      <c r="P229" s="25">
        <f>$B229*'Walgreens National Payments'!N$22</f>
        <v>13756.440525552276</v>
      </c>
      <c r="Q229" s="25">
        <f>$B229*'Walgreens National Payments'!O$22</f>
        <v>13756.440525552276</v>
      </c>
      <c r="R229" s="25">
        <f>$B229*'Walgreens National Payments'!P$22</f>
        <v>13756.440525552276</v>
      </c>
      <c r="S229" s="25">
        <f>$B229*'Walgreens National Payments'!Q$22</f>
        <v>13756.440525552276</v>
      </c>
      <c r="T229" s="26" t="s">
        <v>346</v>
      </c>
      <c r="U229" s="26">
        <f t="shared" si="11"/>
        <v>174868.30325669216</v>
      </c>
    </row>
    <row r="230" spans="1:21" x14ac:dyDescent="0.35">
      <c r="A230" s="3" t="s">
        <v>34</v>
      </c>
      <c r="B230" s="16">
        <v>1.5512635402572228E-3</v>
      </c>
      <c r="C230" s="8" t="s">
        <v>253</v>
      </c>
      <c r="D230" s="33" t="str">
        <f t="shared" si="12"/>
        <v>No</v>
      </c>
      <c r="E230" s="25">
        <v>7585.12</v>
      </c>
      <c r="F230" s="25">
        <v>4209.72</v>
      </c>
      <c r="G230" s="25">
        <f>$B230*'Walgreens National Payments'!E$22</f>
        <v>5516.0463946759837</v>
      </c>
      <c r="H230" s="25">
        <f>$B230*'Walgreens National Payments'!F$22</f>
        <v>5516.0463946759837</v>
      </c>
      <c r="I230" s="25">
        <f>$B230*'Walgreens National Payments'!G$22</f>
        <v>5516.0463946759837</v>
      </c>
      <c r="J230" s="25">
        <f>$B230*'Walgreens National Payments'!H$22</f>
        <v>5516.0463946759837</v>
      </c>
      <c r="K230" s="25">
        <f>$B230*'Walgreens National Payments'!I$22</f>
        <v>5516.0463946759837</v>
      </c>
      <c r="L230" s="25">
        <f>$B230*'Walgreens National Payments'!J$22</f>
        <v>8356.8001203213917</v>
      </c>
      <c r="M230" s="25">
        <f>$B230*'Walgreens National Payments'!K$22</f>
        <v>8356.8001203213917</v>
      </c>
      <c r="N230" s="25">
        <f>$B230*'Walgreens National Payments'!L$22</f>
        <v>8356.8001203213917</v>
      </c>
      <c r="O230" s="25">
        <f>$B230*'Walgreens National Payments'!M$22</f>
        <v>8356.8001203213917</v>
      </c>
      <c r="P230" s="25">
        <f>$B230*'Walgreens National Payments'!N$22</f>
        <v>8356.8001203213917</v>
      </c>
      <c r="Q230" s="25">
        <f>$B230*'Walgreens National Payments'!O$22</f>
        <v>8356.8001203213917</v>
      </c>
      <c r="R230" s="25">
        <f>$B230*'Walgreens National Payments'!P$22</f>
        <v>8356.8001203213917</v>
      </c>
      <c r="S230" s="25">
        <f>$B230*'Walgreens National Payments'!Q$22</f>
        <v>8356.8001203213917</v>
      </c>
      <c r="T230" s="26" t="s">
        <v>346</v>
      </c>
      <c r="U230" s="26">
        <f t="shared" si="11"/>
        <v>106229.47293595107</v>
      </c>
    </row>
    <row r="231" spans="1:21" x14ac:dyDescent="0.35">
      <c r="A231" s="3" t="s">
        <v>254</v>
      </c>
      <c r="B231" s="16">
        <v>4.1352700239291102E-4</v>
      </c>
      <c r="C231" s="8" t="s">
        <v>255</v>
      </c>
      <c r="D231" s="33" t="str">
        <f t="shared" si="12"/>
        <v>No</v>
      </c>
      <c r="E231" s="25">
        <v>2022</v>
      </c>
      <c r="F231" s="25">
        <v>1122.2</v>
      </c>
      <c r="G231" s="25">
        <f>$B231*'Walgreens National Payments'!E$22</f>
        <v>1470.4362421051642</v>
      </c>
      <c r="H231" s="25">
        <f>$B231*'Walgreens National Payments'!F$22</f>
        <v>1470.4362421051642</v>
      </c>
      <c r="I231" s="25">
        <f>$B231*'Walgreens National Payments'!G$22</f>
        <v>1470.4362421051642</v>
      </c>
      <c r="J231" s="25">
        <f>$B231*'Walgreens National Payments'!H$22</f>
        <v>1470.4362421051642</v>
      </c>
      <c r="K231" s="25">
        <f>$B231*'Walgreens National Payments'!I$22</f>
        <v>1470.4362421051642</v>
      </c>
      <c r="L231" s="25">
        <f>$B231*'Walgreens National Payments'!J$22</f>
        <v>2227.708196365013</v>
      </c>
      <c r="M231" s="25">
        <f>$B231*'Walgreens National Payments'!K$22</f>
        <v>2227.708196365013</v>
      </c>
      <c r="N231" s="25">
        <f>$B231*'Walgreens National Payments'!L$22</f>
        <v>2227.708196365013</v>
      </c>
      <c r="O231" s="25">
        <f>$B231*'Walgreens National Payments'!M$22</f>
        <v>2227.708196365013</v>
      </c>
      <c r="P231" s="25">
        <f>$B231*'Walgreens National Payments'!N$22</f>
        <v>2227.708196365013</v>
      </c>
      <c r="Q231" s="25">
        <f>$B231*'Walgreens National Payments'!O$22</f>
        <v>2227.708196365013</v>
      </c>
      <c r="R231" s="25">
        <f>$B231*'Walgreens National Payments'!P$22</f>
        <v>2227.708196365013</v>
      </c>
      <c r="S231" s="25">
        <f>$B231*'Walgreens National Payments'!Q$22</f>
        <v>2227.708196365013</v>
      </c>
      <c r="T231" s="26" t="s">
        <v>346</v>
      </c>
      <c r="U231" s="26">
        <f t="shared" si="11"/>
        <v>28318.046781445923</v>
      </c>
    </row>
    <row r="232" spans="1:21" x14ac:dyDescent="0.35">
      <c r="A232" s="3" t="s">
        <v>254</v>
      </c>
      <c r="B232" s="16">
        <v>2.5740509013613654E-3</v>
      </c>
      <c r="C232" s="8" t="s">
        <v>256</v>
      </c>
      <c r="D232" s="33" t="str">
        <f t="shared" si="12"/>
        <v>No</v>
      </c>
      <c r="E232" s="25">
        <v>12586.18</v>
      </c>
      <c r="F232" s="25">
        <v>6985.3</v>
      </c>
      <c r="G232" s="25">
        <f>$B232*'Walgreens National Payments'!E$22</f>
        <v>9152.9155592817497</v>
      </c>
      <c r="H232" s="25">
        <f>$B232*'Walgreens National Payments'!F$22</f>
        <v>9152.9155592817497</v>
      </c>
      <c r="I232" s="25">
        <f>$B232*'Walgreens National Payments'!G$22</f>
        <v>9152.9155592817497</v>
      </c>
      <c r="J232" s="25">
        <f>$B232*'Walgreens National Payments'!H$22</f>
        <v>9152.9155592817497</v>
      </c>
      <c r="K232" s="25">
        <f>$B232*'Walgreens National Payments'!I$22</f>
        <v>9152.9155592817497</v>
      </c>
      <c r="L232" s="25">
        <f>$B232*'Walgreens National Payments'!J$22</f>
        <v>13866.650200934409</v>
      </c>
      <c r="M232" s="25">
        <f>$B232*'Walgreens National Payments'!K$22</f>
        <v>13866.650200934409</v>
      </c>
      <c r="N232" s="25">
        <f>$B232*'Walgreens National Payments'!L$22</f>
        <v>13866.650200934409</v>
      </c>
      <c r="O232" s="25">
        <f>$B232*'Walgreens National Payments'!M$22</f>
        <v>13866.650200934409</v>
      </c>
      <c r="P232" s="25">
        <f>$B232*'Walgreens National Payments'!N$22</f>
        <v>13866.650200934409</v>
      </c>
      <c r="Q232" s="25">
        <f>$B232*'Walgreens National Payments'!O$22</f>
        <v>13866.650200934409</v>
      </c>
      <c r="R232" s="25">
        <f>$B232*'Walgreens National Payments'!P$22</f>
        <v>13866.650200934409</v>
      </c>
      <c r="S232" s="25">
        <f>$B232*'Walgreens National Payments'!Q$22</f>
        <v>13866.650200934409</v>
      </c>
      <c r="T232" s="26" t="s">
        <v>346</v>
      </c>
      <c r="U232" s="26">
        <f t="shared" si="11"/>
        <v>176269.25940388403</v>
      </c>
    </row>
    <row r="233" spans="1:21" x14ac:dyDescent="0.35">
      <c r="A233" s="3" t="s">
        <v>254</v>
      </c>
      <c r="B233" s="16">
        <v>1.8052764385600002E-2</v>
      </c>
      <c r="C233" s="8" t="s">
        <v>254</v>
      </c>
      <c r="D233" s="33" t="str">
        <f t="shared" si="12"/>
        <v>No</v>
      </c>
      <c r="E233" s="25">
        <v>88271.54</v>
      </c>
      <c r="F233" s="25">
        <v>48990.46</v>
      </c>
      <c r="G233" s="25">
        <f>$B233*'Walgreens National Payments'!E$22</f>
        <v>64192.758560297269</v>
      </c>
      <c r="H233" s="25">
        <f>$B233*'Walgreens National Payments'!F$22</f>
        <v>64192.758560297269</v>
      </c>
      <c r="I233" s="25">
        <f>$B233*'Walgreens National Payments'!G$22</f>
        <v>64192.758560297269</v>
      </c>
      <c r="J233" s="25">
        <f>$B233*'Walgreens National Payments'!H$22</f>
        <v>64192.758560297269</v>
      </c>
      <c r="K233" s="25">
        <f>$B233*'Walgreens National Payments'!I$22</f>
        <v>64192.758560297269</v>
      </c>
      <c r="L233" s="25">
        <f>$B233*'Walgreens National Payments'!J$22</f>
        <v>97251.910893683744</v>
      </c>
      <c r="M233" s="25">
        <f>$B233*'Walgreens National Payments'!K$22</f>
        <v>97251.910893683744</v>
      </c>
      <c r="N233" s="25">
        <f>$B233*'Walgreens National Payments'!L$22</f>
        <v>97251.910893683744</v>
      </c>
      <c r="O233" s="25">
        <f>$B233*'Walgreens National Payments'!M$22</f>
        <v>97251.910893683744</v>
      </c>
      <c r="P233" s="25">
        <f>$B233*'Walgreens National Payments'!N$22</f>
        <v>97251.910893683744</v>
      </c>
      <c r="Q233" s="25">
        <f>$B233*'Walgreens National Payments'!O$22</f>
        <v>97251.910893683744</v>
      </c>
      <c r="R233" s="25">
        <f>$B233*'Walgreens National Payments'!P$22</f>
        <v>97251.910893683744</v>
      </c>
      <c r="S233" s="25">
        <f>$B233*'Walgreens National Payments'!Q$22</f>
        <v>97251.910893683744</v>
      </c>
      <c r="T233" s="26" t="s">
        <v>346</v>
      </c>
      <c r="U233" s="26">
        <f t="shared" si="11"/>
        <v>1236241.0799509564</v>
      </c>
    </row>
    <row r="234" spans="1:21" x14ac:dyDescent="0.35">
      <c r="A234" s="3" t="s">
        <v>257</v>
      </c>
      <c r="B234" s="16">
        <v>3.8845852225600007E-3</v>
      </c>
      <c r="C234" s="8" t="s">
        <v>257</v>
      </c>
      <c r="D234" s="33" t="str">
        <f t="shared" si="12"/>
        <v>No</v>
      </c>
      <c r="E234" s="25">
        <v>18994.23</v>
      </c>
      <c r="F234" s="25">
        <v>10541.74</v>
      </c>
      <c r="G234" s="25">
        <f>$B234*'Walgreens National Payments'!E$22</f>
        <v>13812.967143004396</v>
      </c>
      <c r="H234" s="25">
        <f>$B234*'Walgreens National Payments'!F$22</f>
        <v>13812.967143004396</v>
      </c>
      <c r="I234" s="25">
        <f>$B234*'Walgreens National Payments'!G$22</f>
        <v>13812.967143004396</v>
      </c>
      <c r="J234" s="25">
        <f>$B234*'Walgreens National Payments'!H$22</f>
        <v>13812.967143004396</v>
      </c>
      <c r="K234" s="25">
        <f>$B234*'Walgreens National Payments'!I$22</f>
        <v>13812.967143004396</v>
      </c>
      <c r="L234" s="25">
        <f>$B234*'Walgreens National Payments'!J$22</f>
        <v>20926.61976049879</v>
      </c>
      <c r="M234" s="25">
        <f>$B234*'Walgreens National Payments'!K$22</f>
        <v>20926.61976049879</v>
      </c>
      <c r="N234" s="25">
        <f>$B234*'Walgreens National Payments'!L$22</f>
        <v>20926.61976049879</v>
      </c>
      <c r="O234" s="25">
        <f>$B234*'Walgreens National Payments'!M$22</f>
        <v>20926.61976049879</v>
      </c>
      <c r="P234" s="25">
        <f>$B234*'Walgreens National Payments'!N$22</f>
        <v>20926.61976049879</v>
      </c>
      <c r="Q234" s="25">
        <f>$B234*'Walgreens National Payments'!O$22</f>
        <v>20926.61976049879</v>
      </c>
      <c r="R234" s="25">
        <f>$B234*'Walgreens National Payments'!P$22</f>
        <v>20926.61976049879</v>
      </c>
      <c r="S234" s="25">
        <f>$B234*'Walgreens National Payments'!Q$22</f>
        <v>20926.61976049879</v>
      </c>
      <c r="T234" s="26" t="s">
        <v>346</v>
      </c>
      <c r="U234" s="26">
        <f t="shared" si="11"/>
        <v>266013.76379901229</v>
      </c>
    </row>
    <row r="235" spans="1:21" x14ac:dyDescent="0.35">
      <c r="A235" s="3" t="s">
        <v>77</v>
      </c>
      <c r="B235" s="16">
        <v>1.1028617297600002E-3</v>
      </c>
      <c r="C235" s="8" t="s">
        <v>258</v>
      </c>
      <c r="D235" s="33" t="str">
        <f t="shared" si="12"/>
        <v>No</v>
      </c>
      <c r="E235" s="25">
        <v>5392.6</v>
      </c>
      <c r="F235" s="25">
        <v>2992.88</v>
      </c>
      <c r="G235" s="25">
        <f>$B235*'Walgreens National Payments'!E$22</f>
        <v>3921.6008823749203</v>
      </c>
      <c r="H235" s="25">
        <f>$B235*'Walgreens National Payments'!F$22</f>
        <v>3921.6008823749203</v>
      </c>
      <c r="I235" s="25">
        <f>$B235*'Walgreens National Payments'!G$22</f>
        <v>3921.6008823749203</v>
      </c>
      <c r="J235" s="25">
        <f>$B235*'Walgreens National Payments'!H$22</f>
        <v>3921.6008823749203</v>
      </c>
      <c r="K235" s="25">
        <f>$B235*'Walgreens National Payments'!I$22</f>
        <v>3921.6008823749203</v>
      </c>
      <c r="L235" s="25">
        <f>$B235*'Walgreens National Payments'!J$22</f>
        <v>5941.2181081932795</v>
      </c>
      <c r="M235" s="25">
        <f>$B235*'Walgreens National Payments'!K$22</f>
        <v>5941.2181081932795</v>
      </c>
      <c r="N235" s="25">
        <f>$B235*'Walgreens National Payments'!L$22</f>
        <v>5941.2181081932795</v>
      </c>
      <c r="O235" s="25">
        <f>$B235*'Walgreens National Payments'!M$22</f>
        <v>5941.2181081932795</v>
      </c>
      <c r="P235" s="25">
        <f>$B235*'Walgreens National Payments'!N$22</f>
        <v>5941.2181081932795</v>
      </c>
      <c r="Q235" s="25">
        <f>$B235*'Walgreens National Payments'!O$22</f>
        <v>5941.2181081932795</v>
      </c>
      <c r="R235" s="25">
        <f>$B235*'Walgreens National Payments'!P$22</f>
        <v>5941.2181081932795</v>
      </c>
      <c r="S235" s="25">
        <f>$B235*'Walgreens National Payments'!Q$22</f>
        <v>5941.2181081932795</v>
      </c>
      <c r="T235" s="26" t="s">
        <v>346</v>
      </c>
      <c r="U235" s="26">
        <f t="shared" si="11"/>
        <v>75523.229277420847</v>
      </c>
    </row>
    <row r="236" spans="1:21" x14ac:dyDescent="0.35">
      <c r="A236" s="3" t="s">
        <v>259</v>
      </c>
      <c r="B236" s="16">
        <v>4.7180115840645136E-4</v>
      </c>
      <c r="C236" s="8" t="s">
        <v>259</v>
      </c>
      <c r="D236" s="33" t="str">
        <f t="shared" si="12"/>
        <v>No</v>
      </c>
      <c r="E236" s="25">
        <v>2306.94</v>
      </c>
      <c r="F236" s="25">
        <v>1280.3399999999999</v>
      </c>
      <c r="G236" s="25">
        <f>$B236*'Walgreens National Payments'!E$22</f>
        <v>1677.6498714076197</v>
      </c>
      <c r="H236" s="25">
        <f>$B236*'Walgreens National Payments'!F$22</f>
        <v>1677.6498714076197</v>
      </c>
      <c r="I236" s="25">
        <f>$B236*'Walgreens National Payments'!G$22</f>
        <v>1677.6498714076197</v>
      </c>
      <c r="J236" s="25">
        <f>$B236*'Walgreens National Payments'!H$22</f>
        <v>1677.6498714076197</v>
      </c>
      <c r="K236" s="25">
        <f>$B236*'Walgreens National Payments'!I$22</f>
        <v>1677.6498714076197</v>
      </c>
      <c r="L236" s="25">
        <f>$B236*'Walgreens National Payments'!J$22</f>
        <v>2541.6364628056926</v>
      </c>
      <c r="M236" s="25">
        <f>$B236*'Walgreens National Payments'!K$22</f>
        <v>2541.6364628056926</v>
      </c>
      <c r="N236" s="25">
        <f>$B236*'Walgreens National Payments'!L$22</f>
        <v>2541.6364628056926</v>
      </c>
      <c r="O236" s="25">
        <f>$B236*'Walgreens National Payments'!M$22</f>
        <v>2541.6364628056926</v>
      </c>
      <c r="P236" s="25">
        <f>$B236*'Walgreens National Payments'!N$22</f>
        <v>2541.6364628056926</v>
      </c>
      <c r="Q236" s="25">
        <f>$B236*'Walgreens National Payments'!O$22</f>
        <v>2541.6364628056926</v>
      </c>
      <c r="R236" s="25">
        <f>$B236*'Walgreens National Payments'!P$22</f>
        <v>2541.6364628056926</v>
      </c>
      <c r="S236" s="25">
        <f>$B236*'Walgreens National Payments'!Q$22</f>
        <v>2541.6364628056926</v>
      </c>
      <c r="T236" s="26" t="s">
        <v>346</v>
      </c>
      <c r="U236" s="26">
        <f t="shared" si="11"/>
        <v>32308.62105948363</v>
      </c>
    </row>
    <row r="237" spans="1:21" x14ac:dyDescent="0.35">
      <c r="A237" s="3" t="s">
        <v>28</v>
      </c>
      <c r="B237" s="16">
        <v>3.0790140802788518E-5</v>
      </c>
      <c r="C237" s="8" t="s">
        <v>260</v>
      </c>
      <c r="D237" s="33" t="str">
        <f t="shared" si="12"/>
        <v>Yes</v>
      </c>
      <c r="E237" s="25">
        <v>2228.59</v>
      </c>
      <c r="F237" s="48">
        <v>0</v>
      </c>
      <c r="G237" s="102">
        <v>0</v>
      </c>
      <c r="H237" s="102">
        <v>0</v>
      </c>
      <c r="I237" s="102">
        <v>0</v>
      </c>
      <c r="J237" s="102">
        <v>0</v>
      </c>
      <c r="K237" s="102">
        <v>0</v>
      </c>
      <c r="L237" s="102">
        <v>0</v>
      </c>
      <c r="M237" s="102">
        <v>0</v>
      </c>
      <c r="N237" s="102">
        <v>0</v>
      </c>
      <c r="O237" s="102">
        <v>0</v>
      </c>
      <c r="P237" s="102">
        <v>0</v>
      </c>
      <c r="Q237" s="102">
        <v>0</v>
      </c>
      <c r="R237" s="102">
        <v>0</v>
      </c>
      <c r="S237" s="102">
        <v>0</v>
      </c>
      <c r="T237" s="26" t="s">
        <v>346</v>
      </c>
      <c r="U237" s="26">
        <f t="shared" si="11"/>
        <v>2228.59</v>
      </c>
    </row>
    <row r="238" spans="1:21" x14ac:dyDescent="0.35">
      <c r="A238" s="3" t="s">
        <v>75</v>
      </c>
      <c r="B238" s="16">
        <v>3.0268607449793141E-3</v>
      </c>
      <c r="C238" s="8" t="s">
        <v>261</v>
      </c>
      <c r="D238" s="33" t="str">
        <f t="shared" si="12"/>
        <v>No</v>
      </c>
      <c r="E238" s="25">
        <v>14800.26</v>
      </c>
      <c r="F238" s="25">
        <v>8214.1</v>
      </c>
      <c r="G238" s="25">
        <f>$B238*'Walgreens National Payments'!E$22</f>
        <v>10763.03533618853</v>
      </c>
      <c r="H238" s="25">
        <f>$B238*'Walgreens National Payments'!F$22</f>
        <v>10763.03533618853</v>
      </c>
      <c r="I238" s="25">
        <f>$B238*'Walgreens National Payments'!G$22</f>
        <v>10763.03533618853</v>
      </c>
      <c r="J238" s="25">
        <f>$B238*'Walgreens National Payments'!H$22</f>
        <v>10763.03533618853</v>
      </c>
      <c r="K238" s="25">
        <f>$B238*'Walgreens National Payments'!I$22</f>
        <v>10763.03533618853</v>
      </c>
      <c r="L238" s="25">
        <f>$B238*'Walgreens National Payments'!J$22</f>
        <v>16305.978695048139</v>
      </c>
      <c r="M238" s="25">
        <f>$B238*'Walgreens National Payments'!K$22</f>
        <v>16305.978695048139</v>
      </c>
      <c r="N238" s="25">
        <f>$B238*'Walgreens National Payments'!L$22</f>
        <v>16305.978695048139</v>
      </c>
      <c r="O238" s="25">
        <f>$B238*'Walgreens National Payments'!M$22</f>
        <v>16305.978695048139</v>
      </c>
      <c r="P238" s="25">
        <f>$B238*'Walgreens National Payments'!N$22</f>
        <v>16305.978695048139</v>
      </c>
      <c r="Q238" s="25">
        <f>$B238*'Walgreens National Payments'!O$22</f>
        <v>16305.978695048139</v>
      </c>
      <c r="R238" s="25">
        <f>$B238*'Walgreens National Payments'!P$22</f>
        <v>16305.978695048139</v>
      </c>
      <c r="S238" s="25">
        <f>$B238*'Walgreens National Payments'!Q$22</f>
        <v>16305.978695048139</v>
      </c>
      <c r="T238" s="26" t="s">
        <v>346</v>
      </c>
      <c r="U238" s="26">
        <f t="shared" si="11"/>
        <v>207277.36624132775</v>
      </c>
    </row>
    <row r="239" spans="1:21" x14ac:dyDescent="0.35">
      <c r="A239" s="3" t="s">
        <v>234</v>
      </c>
      <c r="B239" s="16">
        <v>8.1260410302400003E-3</v>
      </c>
      <c r="C239" s="8" t="s">
        <v>234</v>
      </c>
      <c r="D239" s="33" t="str">
        <f t="shared" si="12"/>
        <v>No</v>
      </c>
      <c r="E239" s="25">
        <v>39733.42</v>
      </c>
      <c r="F239" s="25">
        <v>22051.94</v>
      </c>
      <c r="G239" s="25">
        <f>$B239*'Walgreens National Payments'!E$22</f>
        <v>28894.909320444698</v>
      </c>
      <c r="H239" s="25">
        <f>$B239*'Walgreens National Payments'!F$22</f>
        <v>28894.909320444698</v>
      </c>
      <c r="I239" s="25">
        <f>$B239*'Walgreens National Payments'!G$22</f>
        <v>28894.909320444698</v>
      </c>
      <c r="J239" s="25">
        <f>$B239*'Walgreens National Payments'!H$22</f>
        <v>28894.909320444698</v>
      </c>
      <c r="K239" s="25">
        <f>$B239*'Walgreens National Payments'!I$22</f>
        <v>28894.909320444698</v>
      </c>
      <c r="L239" s="25">
        <f>$B239*'Walgreens National Payments'!J$22</f>
        <v>43775.734359092894</v>
      </c>
      <c r="M239" s="25">
        <f>$B239*'Walgreens National Payments'!K$22</f>
        <v>43775.734359092894</v>
      </c>
      <c r="N239" s="25">
        <f>$B239*'Walgreens National Payments'!L$22</f>
        <v>43775.734359092894</v>
      </c>
      <c r="O239" s="25">
        <f>$B239*'Walgreens National Payments'!M$22</f>
        <v>43775.734359092894</v>
      </c>
      <c r="P239" s="25">
        <f>$B239*'Walgreens National Payments'!N$22</f>
        <v>43775.734359092894</v>
      </c>
      <c r="Q239" s="25">
        <f>$B239*'Walgreens National Payments'!O$22</f>
        <v>43775.734359092894</v>
      </c>
      <c r="R239" s="25">
        <f>$B239*'Walgreens National Payments'!P$22</f>
        <v>43775.734359092894</v>
      </c>
      <c r="S239" s="25">
        <f>$B239*'Walgreens National Payments'!Q$22</f>
        <v>43775.734359092894</v>
      </c>
      <c r="T239" s="26" t="s">
        <v>346</v>
      </c>
      <c r="U239" s="26">
        <f t="shared" si="11"/>
        <v>556465.78147496656</v>
      </c>
    </row>
    <row r="240" spans="1:21" x14ac:dyDescent="0.35">
      <c r="A240" s="3" t="s">
        <v>34</v>
      </c>
      <c r="B240" s="16">
        <v>1.547383996257214E-4</v>
      </c>
      <c r="C240" s="8" t="s">
        <v>262</v>
      </c>
      <c r="D240" s="33" t="str">
        <f t="shared" si="12"/>
        <v>No</v>
      </c>
      <c r="E240" s="25">
        <v>756.62</v>
      </c>
      <c r="F240" s="25">
        <v>419.92</v>
      </c>
      <c r="G240" s="25">
        <f>$B240*'Walgreens National Payments'!E$22</f>
        <v>550.22513533184804</v>
      </c>
      <c r="H240" s="25">
        <f>$B240*'Walgreens National Payments'!F$22</f>
        <v>550.22513533184804</v>
      </c>
      <c r="I240" s="25">
        <f>$B240*'Walgreens National Payments'!G$22</f>
        <v>550.22513533184804</v>
      </c>
      <c r="J240" s="25">
        <f>$B240*'Walgreens National Payments'!H$22</f>
        <v>550.22513533184804</v>
      </c>
      <c r="K240" s="25">
        <f>$B240*'Walgreens National Payments'!I$22</f>
        <v>550.22513533184804</v>
      </c>
      <c r="L240" s="25">
        <f>$B240*'Walgreens National Payments'!J$22</f>
        <v>833.59006580928838</v>
      </c>
      <c r="M240" s="25">
        <f>$B240*'Walgreens National Payments'!K$22</f>
        <v>833.59006580928838</v>
      </c>
      <c r="N240" s="25">
        <f>$B240*'Walgreens National Payments'!L$22</f>
        <v>833.59006580928838</v>
      </c>
      <c r="O240" s="25">
        <f>$B240*'Walgreens National Payments'!M$22</f>
        <v>833.59006580928838</v>
      </c>
      <c r="P240" s="25">
        <f>$B240*'Walgreens National Payments'!N$22</f>
        <v>833.59006580928838</v>
      </c>
      <c r="Q240" s="25">
        <f>$B240*'Walgreens National Payments'!O$22</f>
        <v>833.59006580928838</v>
      </c>
      <c r="R240" s="25">
        <f>$B240*'Walgreens National Payments'!P$22</f>
        <v>833.59006580928838</v>
      </c>
      <c r="S240" s="25">
        <f>$B240*'Walgreens National Payments'!Q$22</f>
        <v>833.59006580928838</v>
      </c>
      <c r="T240" s="26" t="s">
        <v>346</v>
      </c>
      <c r="U240" s="26">
        <f t="shared" si="11"/>
        <v>10596.386203133548</v>
      </c>
    </row>
    <row r="241" spans="1:21" x14ac:dyDescent="0.35">
      <c r="A241" s="3" t="s">
        <v>34</v>
      </c>
      <c r="B241" s="16">
        <v>2.3508376415386128E-3</v>
      </c>
      <c r="C241" s="8" t="s">
        <v>263</v>
      </c>
      <c r="D241" s="33" t="str">
        <f t="shared" si="12"/>
        <v>No</v>
      </c>
      <c r="E241" s="25">
        <v>11494.75</v>
      </c>
      <c r="F241" s="25">
        <v>6379.56</v>
      </c>
      <c r="G241" s="25">
        <f>$B241*'Walgreens National Payments'!E$22</f>
        <v>8359.2047131640047</v>
      </c>
      <c r="H241" s="25">
        <f>$B241*'Walgreens National Payments'!F$22</f>
        <v>8359.2047131640047</v>
      </c>
      <c r="I241" s="25">
        <f>$B241*'Walgreens National Payments'!G$22</f>
        <v>8359.2047131640047</v>
      </c>
      <c r="J241" s="25">
        <f>$B241*'Walgreens National Payments'!H$22</f>
        <v>8359.2047131640047</v>
      </c>
      <c r="K241" s="25">
        <f>$B241*'Walgreens National Payments'!I$22</f>
        <v>8359.2047131640047</v>
      </c>
      <c r="L241" s="25">
        <f>$B241*'Walgreens National Payments'!J$22</f>
        <v>12664.179732096596</v>
      </c>
      <c r="M241" s="25">
        <f>$B241*'Walgreens National Payments'!K$22</f>
        <v>12664.179732096596</v>
      </c>
      <c r="N241" s="25">
        <f>$B241*'Walgreens National Payments'!L$22</f>
        <v>12664.179732096596</v>
      </c>
      <c r="O241" s="25">
        <f>$B241*'Walgreens National Payments'!M$22</f>
        <v>12664.179732096596</v>
      </c>
      <c r="P241" s="25">
        <f>$B241*'Walgreens National Payments'!N$22</f>
        <v>12664.179732096596</v>
      </c>
      <c r="Q241" s="25">
        <f>$B241*'Walgreens National Payments'!O$22</f>
        <v>12664.179732096596</v>
      </c>
      <c r="R241" s="25">
        <f>$B241*'Walgreens National Payments'!P$22</f>
        <v>12664.179732096596</v>
      </c>
      <c r="S241" s="25">
        <f>$B241*'Walgreens National Payments'!Q$22</f>
        <v>12664.179732096596</v>
      </c>
      <c r="T241" s="26" t="s">
        <v>346</v>
      </c>
      <c r="U241" s="26">
        <f t="shared" si="11"/>
        <v>160983.77142259278</v>
      </c>
    </row>
    <row r="242" spans="1:21" x14ac:dyDescent="0.35">
      <c r="A242" s="3" t="s">
        <v>34</v>
      </c>
      <c r="B242" s="16">
        <v>6.650644637706374E-7</v>
      </c>
      <c r="C242" s="8" t="s">
        <v>264</v>
      </c>
      <c r="D242" s="33" t="str">
        <f t="shared" si="12"/>
        <v>Yes</v>
      </c>
      <c r="E242" s="25">
        <v>48.14</v>
      </c>
      <c r="F242" s="48">
        <v>0</v>
      </c>
      <c r="G242" s="102">
        <v>0</v>
      </c>
      <c r="H242" s="102">
        <v>0</v>
      </c>
      <c r="I242" s="102">
        <v>0</v>
      </c>
      <c r="J242" s="102">
        <v>0</v>
      </c>
      <c r="K242" s="102">
        <v>0</v>
      </c>
      <c r="L242" s="102">
        <v>0</v>
      </c>
      <c r="M242" s="102">
        <v>0</v>
      </c>
      <c r="N242" s="102">
        <v>0</v>
      </c>
      <c r="O242" s="102">
        <v>0</v>
      </c>
      <c r="P242" s="102">
        <v>0</v>
      </c>
      <c r="Q242" s="102">
        <v>0</v>
      </c>
      <c r="R242" s="102">
        <v>0</v>
      </c>
      <c r="S242" s="102">
        <v>0</v>
      </c>
      <c r="T242" s="26" t="s">
        <v>346</v>
      </c>
      <c r="U242" s="26">
        <f t="shared" si="11"/>
        <v>48.14</v>
      </c>
    </row>
    <row r="243" spans="1:21" x14ac:dyDescent="0.35">
      <c r="A243" s="3" t="s">
        <v>22</v>
      </c>
      <c r="B243" s="16">
        <v>5.308730362373128E-4</v>
      </c>
      <c r="C243" s="8" t="s">
        <v>265</v>
      </c>
      <c r="D243" s="33" t="str">
        <f t="shared" si="12"/>
        <v>No</v>
      </c>
      <c r="E243" s="25">
        <v>2595.7800000000002</v>
      </c>
      <c r="F243" s="25">
        <v>1440.65</v>
      </c>
      <c r="G243" s="25">
        <f>$B243*'Walgreens National Payments'!E$22</f>
        <v>1887.7000726014373</v>
      </c>
      <c r="H243" s="25">
        <f>$B243*'Walgreens National Payments'!F$22</f>
        <v>1887.7000726014373</v>
      </c>
      <c r="I243" s="25">
        <f>$B243*'Walgreens National Payments'!G$22</f>
        <v>1887.7000726014373</v>
      </c>
      <c r="J243" s="25">
        <f>$B243*'Walgreens National Payments'!H$22</f>
        <v>1887.7000726014373</v>
      </c>
      <c r="K243" s="25">
        <f>$B243*'Walgreens National Payments'!I$22</f>
        <v>1887.7000726014373</v>
      </c>
      <c r="L243" s="25">
        <f>$B243*'Walgreens National Payments'!J$22</f>
        <v>2859.8621304331923</v>
      </c>
      <c r="M243" s="25">
        <f>$B243*'Walgreens National Payments'!K$22</f>
        <v>2859.8621304331923</v>
      </c>
      <c r="N243" s="25">
        <f>$B243*'Walgreens National Payments'!L$22</f>
        <v>2859.8621304331923</v>
      </c>
      <c r="O243" s="25">
        <f>$B243*'Walgreens National Payments'!M$22</f>
        <v>2859.8621304331923</v>
      </c>
      <c r="P243" s="25">
        <f>$B243*'Walgreens National Payments'!N$22</f>
        <v>2859.8621304331923</v>
      </c>
      <c r="Q243" s="25">
        <f>$B243*'Walgreens National Payments'!O$22</f>
        <v>2859.8621304331923</v>
      </c>
      <c r="R243" s="25">
        <f>$B243*'Walgreens National Payments'!P$22</f>
        <v>2859.8621304331923</v>
      </c>
      <c r="S243" s="25">
        <f>$B243*'Walgreens National Payments'!Q$22</f>
        <v>2859.8621304331923</v>
      </c>
      <c r="T243" s="26" t="s">
        <v>346</v>
      </c>
      <c r="U243" s="26">
        <f t="shared" si="11"/>
        <v>36353.82740647273</v>
      </c>
    </row>
    <row r="244" spans="1:21" x14ac:dyDescent="0.35">
      <c r="A244" s="3" t="s">
        <v>24</v>
      </c>
      <c r="B244" s="16">
        <v>6.2120900177538814E-5</v>
      </c>
      <c r="C244" s="8" t="s">
        <v>266</v>
      </c>
      <c r="D244" s="33" t="str">
        <f t="shared" si="12"/>
        <v>Yes</v>
      </c>
      <c r="E244" s="25">
        <v>4496.3</v>
      </c>
      <c r="F244" s="48">
        <v>0</v>
      </c>
      <c r="G244" s="102">
        <v>0</v>
      </c>
      <c r="H244" s="102">
        <v>0</v>
      </c>
      <c r="I244" s="102">
        <v>0</v>
      </c>
      <c r="J244" s="102">
        <v>0</v>
      </c>
      <c r="K244" s="102">
        <v>0</v>
      </c>
      <c r="L244" s="102">
        <v>0</v>
      </c>
      <c r="M244" s="102">
        <v>0</v>
      </c>
      <c r="N244" s="102">
        <v>0</v>
      </c>
      <c r="O244" s="102">
        <v>0</v>
      </c>
      <c r="P244" s="102">
        <v>0</v>
      </c>
      <c r="Q244" s="102">
        <v>0</v>
      </c>
      <c r="R244" s="102">
        <v>0</v>
      </c>
      <c r="S244" s="102">
        <v>0</v>
      </c>
      <c r="T244" s="26" t="s">
        <v>346</v>
      </c>
      <c r="U244" s="26">
        <f t="shared" si="11"/>
        <v>4496.3</v>
      </c>
    </row>
    <row r="245" spans="1:21" x14ac:dyDescent="0.35">
      <c r="A245" s="3" t="s">
        <v>34</v>
      </c>
      <c r="B245" s="16">
        <v>2.6713434479427391E-5</v>
      </c>
      <c r="C245" s="8" t="s">
        <v>267</v>
      </c>
      <c r="D245" s="33" t="str">
        <f t="shared" si="12"/>
        <v>Yes</v>
      </c>
      <c r="E245" s="25">
        <v>1933.51</v>
      </c>
      <c r="F245" s="48">
        <v>0</v>
      </c>
      <c r="G245" s="102">
        <v>0</v>
      </c>
      <c r="H245" s="102">
        <v>0</v>
      </c>
      <c r="I245" s="102">
        <v>0</v>
      </c>
      <c r="J245" s="102">
        <v>0</v>
      </c>
      <c r="K245" s="102">
        <v>0</v>
      </c>
      <c r="L245" s="102">
        <v>0</v>
      </c>
      <c r="M245" s="102">
        <v>0</v>
      </c>
      <c r="N245" s="102">
        <v>0</v>
      </c>
      <c r="O245" s="102">
        <v>0</v>
      </c>
      <c r="P245" s="102">
        <v>0</v>
      </c>
      <c r="Q245" s="102">
        <v>0</v>
      </c>
      <c r="R245" s="102">
        <v>0</v>
      </c>
      <c r="S245" s="102">
        <v>0</v>
      </c>
      <c r="T245" s="26" t="s">
        <v>346</v>
      </c>
      <c r="U245" s="26">
        <f t="shared" si="11"/>
        <v>1933.51</v>
      </c>
    </row>
    <row r="246" spans="1:21" x14ac:dyDescent="0.35">
      <c r="A246" s="3" t="s">
        <v>121</v>
      </c>
      <c r="B246" s="16">
        <v>2.2355271010240003E-2</v>
      </c>
      <c r="C246" s="8" t="s">
        <v>121</v>
      </c>
      <c r="D246" s="33" t="str">
        <f t="shared" si="12"/>
        <v>No</v>
      </c>
      <c r="E246" s="25">
        <v>109770.91</v>
      </c>
      <c r="F246" s="25">
        <v>60922.55</v>
      </c>
      <c r="G246" s="25">
        <f>$B246*'Walgreens National Payments'!E$22</f>
        <v>79491.787731691162</v>
      </c>
      <c r="H246" s="25">
        <f>$B246*'Walgreens National Payments'!F$22</f>
        <v>79491.787731691162</v>
      </c>
      <c r="I246" s="25">
        <f>$B246*'Walgreens National Payments'!G$22</f>
        <v>79491.787731691162</v>
      </c>
      <c r="J246" s="25">
        <f>$B246*'Walgreens National Payments'!H$22</f>
        <v>79491.787731691162</v>
      </c>
      <c r="K246" s="25">
        <f>$B246*'Walgreens National Payments'!I$22</f>
        <v>79491.787731691162</v>
      </c>
      <c r="L246" s="25">
        <f>$B246*'Walgreens National Payments'!J$22</f>
        <v>120429.91188796562</v>
      </c>
      <c r="M246" s="25">
        <f>$B246*'Walgreens National Payments'!K$22</f>
        <v>120429.91188796562</v>
      </c>
      <c r="N246" s="25">
        <f>$B246*'Walgreens National Payments'!L$22</f>
        <v>120429.91188796562</v>
      </c>
      <c r="O246" s="25">
        <f>$B246*'Walgreens National Payments'!M$22</f>
        <v>120429.91188796562</v>
      </c>
      <c r="P246" s="25">
        <f>$B246*'Walgreens National Payments'!N$22</f>
        <v>120429.91188796562</v>
      </c>
      <c r="Q246" s="25">
        <f>$B246*'Walgreens National Payments'!O$22</f>
        <v>120429.91188796562</v>
      </c>
      <c r="R246" s="25">
        <f>$B246*'Walgreens National Payments'!P$22</f>
        <v>120429.91188796562</v>
      </c>
      <c r="S246" s="25">
        <f>$B246*'Walgreens National Payments'!Q$22</f>
        <v>120429.91188796562</v>
      </c>
      <c r="T246" s="26" t="s">
        <v>346</v>
      </c>
      <c r="U246" s="26">
        <f t="shared" si="11"/>
        <v>1531591.6937621809</v>
      </c>
    </row>
    <row r="247" spans="1:21" x14ac:dyDescent="0.35">
      <c r="A247" s="3" t="s">
        <v>268</v>
      </c>
      <c r="B247" s="16">
        <v>2.5489421581211444E-3</v>
      </c>
      <c r="C247" s="8" t="s">
        <v>268</v>
      </c>
      <c r="D247" s="33" t="str">
        <f t="shared" si="12"/>
        <v>No</v>
      </c>
      <c r="E247" s="25">
        <v>12463.41</v>
      </c>
      <c r="F247" s="25">
        <v>6917.16</v>
      </c>
      <c r="G247" s="25">
        <f>$B247*'Walgreens National Payments'!E$22</f>
        <v>9063.6328622861765</v>
      </c>
      <c r="H247" s="25">
        <f>$B247*'Walgreens National Payments'!F$22</f>
        <v>9063.6328622861765</v>
      </c>
      <c r="I247" s="25">
        <f>$B247*'Walgreens National Payments'!G$22</f>
        <v>9063.6328622861765</v>
      </c>
      <c r="J247" s="25">
        <f>$B247*'Walgreens National Payments'!H$22</f>
        <v>9063.6328622861765</v>
      </c>
      <c r="K247" s="25">
        <f>$B247*'Walgreens National Payments'!I$22</f>
        <v>9063.6328622861765</v>
      </c>
      <c r="L247" s="25">
        <f>$B247*'Walgreens National Payments'!J$22</f>
        <v>13731.387079559041</v>
      </c>
      <c r="M247" s="25">
        <f>$B247*'Walgreens National Payments'!K$22</f>
        <v>13731.387079559041</v>
      </c>
      <c r="N247" s="25">
        <f>$B247*'Walgreens National Payments'!L$22</f>
        <v>13731.387079559041</v>
      </c>
      <c r="O247" s="25">
        <f>$B247*'Walgreens National Payments'!M$22</f>
        <v>13731.387079559041</v>
      </c>
      <c r="P247" s="25">
        <f>$B247*'Walgreens National Payments'!N$22</f>
        <v>13731.387079559041</v>
      </c>
      <c r="Q247" s="25">
        <f>$B247*'Walgreens National Payments'!O$22</f>
        <v>13731.387079559041</v>
      </c>
      <c r="R247" s="25">
        <f>$B247*'Walgreens National Payments'!P$22</f>
        <v>13731.387079559041</v>
      </c>
      <c r="S247" s="25">
        <f>$B247*'Walgreens National Payments'!Q$22</f>
        <v>13731.387079559041</v>
      </c>
      <c r="T247" s="26" t="s">
        <v>346</v>
      </c>
      <c r="U247" s="26">
        <f t="shared" si="11"/>
        <v>174549.83094790316</v>
      </c>
    </row>
    <row r="248" spans="1:21" x14ac:dyDescent="0.35">
      <c r="A248" s="3" t="s">
        <v>75</v>
      </c>
      <c r="B248" s="16">
        <v>2.0311040435780645E-3</v>
      </c>
      <c r="C248" s="8" t="s">
        <v>269</v>
      </c>
      <c r="D248" s="33" t="str">
        <f t="shared" si="12"/>
        <v>No</v>
      </c>
      <c r="E248" s="25">
        <v>9931.3700000000008</v>
      </c>
      <c r="F248" s="25">
        <v>5511.88</v>
      </c>
      <c r="G248" s="25">
        <f>$B248*'Walgreens National Payments'!E$22</f>
        <v>7222.2828978065572</v>
      </c>
      <c r="H248" s="25">
        <f>$B248*'Walgreens National Payments'!F$22</f>
        <v>7222.2828978065572</v>
      </c>
      <c r="I248" s="25">
        <f>$B248*'Walgreens National Payments'!G$22</f>
        <v>7222.2828978065572</v>
      </c>
      <c r="J248" s="25">
        <f>$B248*'Walgreens National Payments'!H$22</f>
        <v>7222.2828978065572</v>
      </c>
      <c r="K248" s="25">
        <f>$B248*'Walgreens National Payments'!I$22</f>
        <v>7222.2828978065572</v>
      </c>
      <c r="L248" s="25">
        <f>$B248*'Walgreens National Payments'!J$22</f>
        <v>10941.745277494219</v>
      </c>
      <c r="M248" s="25">
        <f>$B248*'Walgreens National Payments'!K$22</f>
        <v>10941.745277494219</v>
      </c>
      <c r="N248" s="25">
        <f>$B248*'Walgreens National Payments'!L$22</f>
        <v>10941.745277494219</v>
      </c>
      <c r="O248" s="25">
        <f>$B248*'Walgreens National Payments'!M$22</f>
        <v>10941.745277494219</v>
      </c>
      <c r="P248" s="25">
        <f>$B248*'Walgreens National Payments'!N$22</f>
        <v>10941.745277494219</v>
      </c>
      <c r="Q248" s="25">
        <f>$B248*'Walgreens National Payments'!O$22</f>
        <v>10941.745277494219</v>
      </c>
      <c r="R248" s="25">
        <f>$B248*'Walgreens National Payments'!P$22</f>
        <v>10941.745277494219</v>
      </c>
      <c r="S248" s="25">
        <f>$B248*'Walgreens National Payments'!Q$22</f>
        <v>10941.745277494219</v>
      </c>
      <c r="T248" s="26" t="s">
        <v>346</v>
      </c>
      <c r="U248" s="26">
        <f t="shared" si="11"/>
        <v>139088.62670898656</v>
      </c>
    </row>
    <row r="249" spans="1:21" x14ac:dyDescent="0.35">
      <c r="A249" s="3" t="s">
        <v>75</v>
      </c>
      <c r="B249" s="16">
        <v>1.053645978224E-2</v>
      </c>
      <c r="C249" s="8" t="s">
        <v>271</v>
      </c>
      <c r="D249" s="33" t="str">
        <f t="shared" si="12"/>
        <v>No</v>
      </c>
      <c r="E249" s="25">
        <v>51519.5</v>
      </c>
      <c r="F249" s="25">
        <v>28593.18</v>
      </c>
      <c r="G249" s="25">
        <f>$B249*'Walgreens National Payments'!E$22</f>
        <v>37465.974985034685</v>
      </c>
      <c r="H249" s="25">
        <f>$B249*'Walgreens National Payments'!F$22</f>
        <v>37465.974985034685</v>
      </c>
      <c r="I249" s="25">
        <f>$B249*'Walgreens National Payments'!G$22</f>
        <v>37465.974985034685</v>
      </c>
      <c r="J249" s="25">
        <f>$B249*'Walgreens National Payments'!H$22</f>
        <v>37465.974985034685</v>
      </c>
      <c r="K249" s="25">
        <f>$B249*'Walgreens National Payments'!I$22</f>
        <v>37465.974985034685</v>
      </c>
      <c r="L249" s="25">
        <f>$B249*'Walgreens National Payments'!J$22</f>
        <v>56760.883042080997</v>
      </c>
      <c r="M249" s="25">
        <f>$B249*'Walgreens National Payments'!K$22</f>
        <v>56760.883042080997</v>
      </c>
      <c r="N249" s="25">
        <f>$B249*'Walgreens National Payments'!L$22</f>
        <v>56760.883042080997</v>
      </c>
      <c r="O249" s="25">
        <f>$B249*'Walgreens National Payments'!M$22</f>
        <v>56760.883042080997</v>
      </c>
      <c r="P249" s="25">
        <f>$B249*'Walgreens National Payments'!N$22</f>
        <v>56760.883042080997</v>
      </c>
      <c r="Q249" s="25">
        <f>$B249*'Walgreens National Payments'!O$22</f>
        <v>56760.883042080997</v>
      </c>
      <c r="R249" s="25">
        <f>$B249*'Walgreens National Payments'!P$22</f>
        <v>56760.883042080997</v>
      </c>
      <c r="S249" s="25">
        <f>$B249*'Walgreens National Payments'!Q$22</f>
        <v>56760.883042080997</v>
      </c>
      <c r="T249" s="26" t="s">
        <v>346</v>
      </c>
      <c r="U249" s="26">
        <f t="shared" si="11"/>
        <v>721529.61926182162</v>
      </c>
    </row>
    <row r="250" spans="1:21" x14ac:dyDescent="0.35">
      <c r="A250" s="3" t="s">
        <v>268</v>
      </c>
      <c r="B250" s="16">
        <v>3.5811995813821466E-4</v>
      </c>
      <c r="C250" s="8" t="s">
        <v>272</v>
      </c>
      <c r="D250" s="33" t="str">
        <f t="shared" si="12"/>
        <v>No</v>
      </c>
      <c r="E250" s="25">
        <v>1751.08</v>
      </c>
      <c r="F250" s="25">
        <v>971.84</v>
      </c>
      <c r="G250" s="25">
        <f>$B250*'Walgreens National Payments'!E$22</f>
        <v>1273.4176061549549</v>
      </c>
      <c r="H250" s="25">
        <f>$B250*'Walgreens National Payments'!F$22</f>
        <v>1273.4176061549549</v>
      </c>
      <c r="I250" s="25">
        <f>$B250*'Walgreens National Payments'!G$22</f>
        <v>1273.4176061549549</v>
      </c>
      <c r="J250" s="25">
        <f>$B250*'Walgreens National Payments'!H$22</f>
        <v>1273.4176061549549</v>
      </c>
      <c r="K250" s="25">
        <f>$B250*'Walgreens National Payments'!I$22</f>
        <v>1273.4176061549549</v>
      </c>
      <c r="L250" s="25">
        <f>$B250*'Walgreens National Payments'!J$22</f>
        <v>1929.225326060769</v>
      </c>
      <c r="M250" s="25">
        <f>$B250*'Walgreens National Payments'!K$22</f>
        <v>1929.225326060769</v>
      </c>
      <c r="N250" s="25">
        <f>$B250*'Walgreens National Payments'!L$22</f>
        <v>1929.225326060769</v>
      </c>
      <c r="O250" s="25">
        <f>$B250*'Walgreens National Payments'!M$22</f>
        <v>1929.225326060769</v>
      </c>
      <c r="P250" s="25">
        <f>$B250*'Walgreens National Payments'!N$22</f>
        <v>1929.225326060769</v>
      </c>
      <c r="Q250" s="25">
        <f>$B250*'Walgreens National Payments'!O$22</f>
        <v>1929.225326060769</v>
      </c>
      <c r="R250" s="25">
        <f>$B250*'Walgreens National Payments'!P$22</f>
        <v>1929.225326060769</v>
      </c>
      <c r="S250" s="25">
        <f>$B250*'Walgreens National Payments'!Q$22</f>
        <v>1929.225326060769</v>
      </c>
      <c r="T250" s="26" t="s">
        <v>346</v>
      </c>
      <c r="U250" s="26">
        <f t="shared" si="11"/>
        <v>24523.810639260926</v>
      </c>
    </row>
    <row r="251" spans="1:21" x14ac:dyDescent="0.35">
      <c r="A251" s="3" t="s">
        <v>55</v>
      </c>
      <c r="B251" s="16">
        <v>8.7972621758440581E-5</v>
      </c>
      <c r="C251" s="8" t="s">
        <v>273</v>
      </c>
      <c r="D251" s="33" t="str">
        <f t="shared" si="12"/>
        <v>No</v>
      </c>
      <c r="E251" s="25">
        <v>430.15</v>
      </c>
      <c r="F251" s="25">
        <v>238.73</v>
      </c>
      <c r="G251" s="25">
        <f>$B251*'Walgreens National Payments'!E$22</f>
        <v>312.81664945234036</v>
      </c>
      <c r="H251" s="25">
        <f>$B251*'Walgreens National Payments'!F$22</f>
        <v>312.81664945234036</v>
      </c>
      <c r="I251" s="25">
        <f>$B251*'Walgreens National Payments'!G$22</f>
        <v>312.81664945234036</v>
      </c>
      <c r="J251" s="25">
        <f>$B251*'Walgreens National Payments'!H$22</f>
        <v>312.81664945234036</v>
      </c>
      <c r="K251" s="25">
        <f>$B251*'Walgreens National Payments'!I$22</f>
        <v>312.81664945234036</v>
      </c>
      <c r="L251" s="25">
        <f>$B251*'Walgreens National Payments'!J$22</f>
        <v>473.91664731192117</v>
      </c>
      <c r="M251" s="25">
        <f>$B251*'Walgreens National Payments'!K$22</f>
        <v>473.91664731192117</v>
      </c>
      <c r="N251" s="25">
        <f>$B251*'Walgreens National Payments'!L$22</f>
        <v>473.91664731192117</v>
      </c>
      <c r="O251" s="25">
        <f>$B251*'Walgreens National Payments'!M$22</f>
        <v>473.91664731192117</v>
      </c>
      <c r="P251" s="25">
        <f>$B251*'Walgreens National Payments'!N$22</f>
        <v>473.91664731192117</v>
      </c>
      <c r="Q251" s="25">
        <f>$B251*'Walgreens National Payments'!O$22</f>
        <v>473.91664731192117</v>
      </c>
      <c r="R251" s="25">
        <f>$B251*'Walgreens National Payments'!P$22</f>
        <v>473.91664731192117</v>
      </c>
      <c r="S251" s="25">
        <f>$B251*'Walgreens National Payments'!Q$22</f>
        <v>473.91664731192117</v>
      </c>
      <c r="T251" s="26" t="s">
        <v>346</v>
      </c>
      <c r="U251" s="26">
        <f t="shared" si="11"/>
        <v>6024.2964257570711</v>
      </c>
    </row>
    <row r="252" spans="1:21" x14ac:dyDescent="0.35">
      <c r="A252" s="3" t="s">
        <v>28</v>
      </c>
      <c r="B252" s="16">
        <v>7.2444420150405935E-5</v>
      </c>
      <c r="C252" s="8" t="s">
        <v>274</v>
      </c>
      <c r="D252" s="33" t="str">
        <f t="shared" si="12"/>
        <v>Yes</v>
      </c>
      <c r="E252" s="25">
        <v>5243.52</v>
      </c>
      <c r="F252" s="48">
        <v>0</v>
      </c>
      <c r="G252" s="102">
        <v>0</v>
      </c>
      <c r="H252" s="102">
        <v>0</v>
      </c>
      <c r="I252" s="102">
        <v>0</v>
      </c>
      <c r="J252" s="102">
        <v>0</v>
      </c>
      <c r="K252" s="102">
        <v>0</v>
      </c>
      <c r="L252" s="102">
        <v>0</v>
      </c>
      <c r="M252" s="102">
        <v>0</v>
      </c>
      <c r="N252" s="102">
        <v>0</v>
      </c>
      <c r="O252" s="102">
        <v>0</v>
      </c>
      <c r="P252" s="102">
        <v>0</v>
      </c>
      <c r="Q252" s="102">
        <v>0</v>
      </c>
      <c r="R252" s="102">
        <v>0</v>
      </c>
      <c r="S252" s="102">
        <v>0</v>
      </c>
      <c r="T252" s="26" t="s">
        <v>346</v>
      </c>
      <c r="U252" s="26">
        <f t="shared" si="11"/>
        <v>5243.52</v>
      </c>
    </row>
    <row r="253" spans="1:21" x14ac:dyDescent="0.35">
      <c r="A253" s="3" t="s">
        <v>22</v>
      </c>
      <c r="B253" s="16">
        <v>2.2496241948760823E-3</v>
      </c>
      <c r="C253" s="8" t="s">
        <v>275</v>
      </c>
      <c r="D253" s="33" t="str">
        <f t="shared" si="12"/>
        <v>No</v>
      </c>
      <c r="E253" s="25">
        <v>10999.85</v>
      </c>
      <c r="F253" s="25">
        <v>6104.89</v>
      </c>
      <c r="G253" s="25">
        <f>$B253*'Walgreens National Payments'!E$22</f>
        <v>7999.3057965279531</v>
      </c>
      <c r="H253" s="25">
        <f>$B253*'Walgreens National Payments'!F$22</f>
        <v>7999.3057965279531</v>
      </c>
      <c r="I253" s="25">
        <f>$B253*'Walgreens National Payments'!G$22</f>
        <v>7999.3057965279531</v>
      </c>
      <c r="J253" s="25">
        <f>$B253*'Walgreens National Payments'!H$22</f>
        <v>7999.3057965279531</v>
      </c>
      <c r="K253" s="25">
        <f>$B253*'Walgreens National Payments'!I$22</f>
        <v>7999.3057965279531</v>
      </c>
      <c r="L253" s="25">
        <f>$B253*'Walgreens National Payments'!J$22</f>
        <v>12118.933536787108</v>
      </c>
      <c r="M253" s="25">
        <f>$B253*'Walgreens National Payments'!K$22</f>
        <v>12118.933536787108</v>
      </c>
      <c r="N253" s="25">
        <f>$B253*'Walgreens National Payments'!L$22</f>
        <v>12118.933536787108</v>
      </c>
      <c r="O253" s="25">
        <f>$B253*'Walgreens National Payments'!M$22</f>
        <v>12118.933536787108</v>
      </c>
      <c r="P253" s="25">
        <f>$B253*'Walgreens National Payments'!N$22</f>
        <v>12118.933536787108</v>
      </c>
      <c r="Q253" s="25">
        <f>$B253*'Walgreens National Payments'!O$22</f>
        <v>12118.933536787108</v>
      </c>
      <c r="R253" s="25">
        <f>$B253*'Walgreens National Payments'!P$22</f>
        <v>12118.933536787108</v>
      </c>
      <c r="S253" s="25">
        <f>$B253*'Walgreens National Payments'!Q$22</f>
        <v>12118.933536787108</v>
      </c>
      <c r="T253" s="26" t="s">
        <v>346</v>
      </c>
      <c r="U253" s="26">
        <f t="shared" si="11"/>
        <v>154052.73727693662</v>
      </c>
    </row>
    <row r="254" spans="1:21" x14ac:dyDescent="0.35">
      <c r="A254" s="3" t="s">
        <v>83</v>
      </c>
      <c r="B254" s="16">
        <v>3.1110081270188996E-5</v>
      </c>
      <c r="C254" s="8" t="s">
        <v>276</v>
      </c>
      <c r="D254" s="33" t="str">
        <f t="shared" si="12"/>
        <v>Yes</v>
      </c>
      <c r="E254" s="25">
        <v>2251.7399999999998</v>
      </c>
      <c r="F254" s="48">
        <v>0</v>
      </c>
      <c r="G254" s="102">
        <v>0</v>
      </c>
      <c r="H254" s="102">
        <v>0</v>
      </c>
      <c r="I254" s="102">
        <v>0</v>
      </c>
      <c r="J254" s="102">
        <v>0</v>
      </c>
      <c r="K254" s="102">
        <v>0</v>
      </c>
      <c r="L254" s="102">
        <v>0</v>
      </c>
      <c r="M254" s="102">
        <v>0</v>
      </c>
      <c r="N254" s="102">
        <v>0</v>
      </c>
      <c r="O254" s="102">
        <v>0</v>
      </c>
      <c r="P254" s="102">
        <v>0</v>
      </c>
      <c r="Q254" s="102">
        <v>0</v>
      </c>
      <c r="R254" s="102">
        <v>0</v>
      </c>
      <c r="S254" s="102">
        <v>0</v>
      </c>
      <c r="T254" s="26" t="s">
        <v>346</v>
      </c>
      <c r="U254" s="26">
        <f t="shared" si="11"/>
        <v>2251.7399999999998</v>
      </c>
    </row>
    <row r="255" spans="1:21" x14ac:dyDescent="0.35">
      <c r="A255" s="3" t="s">
        <v>254</v>
      </c>
      <c r="B255" s="16">
        <v>7.5956312712067208E-5</v>
      </c>
      <c r="C255" s="8" t="s">
        <v>277</v>
      </c>
      <c r="D255" s="33" t="str">
        <f t="shared" si="12"/>
        <v>Yes</v>
      </c>
      <c r="E255" s="25">
        <v>5497.71</v>
      </c>
      <c r="F255" s="48">
        <v>0</v>
      </c>
      <c r="G255" s="102">
        <v>0</v>
      </c>
      <c r="H255" s="102">
        <v>0</v>
      </c>
      <c r="I255" s="102">
        <v>0</v>
      </c>
      <c r="J255" s="102">
        <v>0</v>
      </c>
      <c r="K255" s="102">
        <v>0</v>
      </c>
      <c r="L255" s="102">
        <v>0</v>
      </c>
      <c r="M255" s="102">
        <v>0</v>
      </c>
      <c r="N255" s="102">
        <v>0</v>
      </c>
      <c r="O255" s="102">
        <v>0</v>
      </c>
      <c r="P255" s="102">
        <v>0</v>
      </c>
      <c r="Q255" s="102">
        <v>0</v>
      </c>
      <c r="R255" s="102">
        <v>0</v>
      </c>
      <c r="S255" s="102">
        <v>0</v>
      </c>
      <c r="T255" s="26" t="s">
        <v>346</v>
      </c>
      <c r="U255" s="26">
        <f t="shared" si="11"/>
        <v>5497.71</v>
      </c>
    </row>
    <row r="256" spans="1:21" x14ac:dyDescent="0.35">
      <c r="A256" s="3" t="s">
        <v>278</v>
      </c>
      <c r="B256" s="16">
        <v>6.9474875120000001E-4</v>
      </c>
      <c r="C256" s="8" t="s">
        <v>279</v>
      </c>
      <c r="D256" s="33" t="str">
        <f t="shared" si="12"/>
        <v>No</v>
      </c>
      <c r="E256" s="25">
        <v>3397.07</v>
      </c>
      <c r="F256" s="25">
        <v>1885.37</v>
      </c>
      <c r="G256" s="25">
        <f>$B256*'Walgreens National Payments'!E$22</f>
        <v>2470.4160478283106</v>
      </c>
      <c r="H256" s="25">
        <f>$B256*'Walgreens National Payments'!F$22</f>
        <v>2470.4160478283106</v>
      </c>
      <c r="I256" s="25">
        <f>$B256*'Walgreens National Payments'!G$22</f>
        <v>2470.4160478283106</v>
      </c>
      <c r="J256" s="25">
        <f>$B256*'Walgreens National Payments'!H$22</f>
        <v>2470.4160478283106</v>
      </c>
      <c r="K256" s="25">
        <f>$B256*'Walgreens National Payments'!I$22</f>
        <v>2470.4160478283106</v>
      </c>
      <c r="L256" s="25">
        <f>$B256*'Walgreens National Payments'!J$22</f>
        <v>3742.67575879376</v>
      </c>
      <c r="M256" s="25">
        <f>$B256*'Walgreens National Payments'!K$22</f>
        <v>3742.67575879376</v>
      </c>
      <c r="N256" s="25">
        <f>$B256*'Walgreens National Payments'!L$22</f>
        <v>3742.67575879376</v>
      </c>
      <c r="O256" s="25">
        <f>$B256*'Walgreens National Payments'!M$22</f>
        <v>3742.67575879376</v>
      </c>
      <c r="P256" s="25">
        <f>$B256*'Walgreens National Payments'!N$22</f>
        <v>3742.67575879376</v>
      </c>
      <c r="Q256" s="25">
        <f>$B256*'Walgreens National Payments'!O$22</f>
        <v>3742.67575879376</v>
      </c>
      <c r="R256" s="25">
        <f>$B256*'Walgreens National Payments'!P$22</f>
        <v>3742.67575879376</v>
      </c>
      <c r="S256" s="25">
        <f>$B256*'Walgreens National Payments'!Q$22</f>
        <v>3742.67575879376</v>
      </c>
      <c r="T256" s="26" t="s">
        <v>346</v>
      </c>
      <c r="U256" s="26">
        <f t="shared" si="11"/>
        <v>47575.926309491639</v>
      </c>
    </row>
    <row r="257" spans="1:21" x14ac:dyDescent="0.35">
      <c r="A257" s="3" t="s">
        <v>22</v>
      </c>
      <c r="B257" s="16">
        <v>2.8792492159318973E-4</v>
      </c>
      <c r="C257" s="8" t="s">
        <v>280</v>
      </c>
      <c r="D257" s="33" t="str">
        <f t="shared" si="12"/>
        <v>No</v>
      </c>
      <c r="E257" s="25">
        <v>1407.85</v>
      </c>
      <c r="F257" s="25">
        <v>781.35</v>
      </c>
      <c r="G257" s="25">
        <f>$B257*'Walgreens National Payments'!E$22</f>
        <v>1023.815221898486</v>
      </c>
      <c r="H257" s="25">
        <f>$B257*'Walgreens National Payments'!F$22</f>
        <v>1023.815221898486</v>
      </c>
      <c r="I257" s="25">
        <f>$B257*'Walgreens National Payments'!G$22</f>
        <v>1023.815221898486</v>
      </c>
      <c r="J257" s="25">
        <f>$B257*'Walgreens National Payments'!H$22</f>
        <v>1023.815221898486</v>
      </c>
      <c r="K257" s="25">
        <f>$B257*'Walgreens National Payments'!I$22</f>
        <v>1023.815221898486</v>
      </c>
      <c r="L257" s="25">
        <f>$B257*'Walgreens National Payments'!J$22</f>
        <v>1551.078173999063</v>
      </c>
      <c r="M257" s="25">
        <f>$B257*'Walgreens National Payments'!K$22</f>
        <v>1551.078173999063</v>
      </c>
      <c r="N257" s="25">
        <f>$B257*'Walgreens National Payments'!L$22</f>
        <v>1551.078173999063</v>
      </c>
      <c r="O257" s="25">
        <f>$B257*'Walgreens National Payments'!M$22</f>
        <v>1551.078173999063</v>
      </c>
      <c r="P257" s="25">
        <f>$B257*'Walgreens National Payments'!N$22</f>
        <v>1551.078173999063</v>
      </c>
      <c r="Q257" s="25">
        <f>$B257*'Walgreens National Payments'!O$22</f>
        <v>1551.078173999063</v>
      </c>
      <c r="R257" s="25">
        <f>$B257*'Walgreens National Payments'!P$22</f>
        <v>1551.078173999063</v>
      </c>
      <c r="S257" s="25">
        <f>$B257*'Walgreens National Payments'!Q$22</f>
        <v>1551.078173999063</v>
      </c>
      <c r="T257" s="26" t="s">
        <v>346</v>
      </c>
      <c r="U257" s="26">
        <f t="shared" si="11"/>
        <v>19716.901501484936</v>
      </c>
    </row>
    <row r="258" spans="1:21" x14ac:dyDescent="0.35">
      <c r="A258" s="3" t="s">
        <v>34</v>
      </c>
      <c r="B258" s="16">
        <v>1.4103252340808051E-3</v>
      </c>
      <c r="C258" s="8" t="s">
        <v>281</v>
      </c>
      <c r="D258" s="33" t="str">
        <f t="shared" si="12"/>
        <v>No</v>
      </c>
      <c r="E258" s="25">
        <v>6895.98</v>
      </c>
      <c r="F258" s="25">
        <v>3827.25</v>
      </c>
      <c r="G258" s="25">
        <f>$B258*'Walgreens National Payments'!E$22</f>
        <v>5014.8921965135869</v>
      </c>
      <c r="H258" s="25">
        <f>$B258*'Walgreens National Payments'!F$22</f>
        <v>5014.8921965135869</v>
      </c>
      <c r="I258" s="25">
        <f>$B258*'Walgreens National Payments'!G$22</f>
        <v>5014.8921965135869</v>
      </c>
      <c r="J258" s="25">
        <f>$B258*'Walgreens National Payments'!H$22</f>
        <v>5014.8921965135869</v>
      </c>
      <c r="K258" s="25">
        <f>$B258*'Walgreens National Payments'!I$22</f>
        <v>5014.8921965135869</v>
      </c>
      <c r="L258" s="25">
        <f>$B258*'Walgreens National Payments'!J$22</f>
        <v>7597.5524338723917</v>
      </c>
      <c r="M258" s="25">
        <f>$B258*'Walgreens National Payments'!K$22</f>
        <v>7597.5524338723917</v>
      </c>
      <c r="N258" s="25">
        <f>$B258*'Walgreens National Payments'!L$22</f>
        <v>7597.5524338723917</v>
      </c>
      <c r="O258" s="25">
        <f>$B258*'Walgreens National Payments'!M$22</f>
        <v>7597.5524338723917</v>
      </c>
      <c r="P258" s="25">
        <f>$B258*'Walgreens National Payments'!N$22</f>
        <v>7597.5524338723917</v>
      </c>
      <c r="Q258" s="25">
        <f>$B258*'Walgreens National Payments'!O$22</f>
        <v>7597.5524338723917</v>
      </c>
      <c r="R258" s="25">
        <f>$B258*'Walgreens National Payments'!P$22</f>
        <v>7597.5524338723917</v>
      </c>
      <c r="S258" s="25">
        <f>$B258*'Walgreens National Payments'!Q$22</f>
        <v>7597.5524338723917</v>
      </c>
      <c r="T258" s="26" t="s">
        <v>346</v>
      </c>
      <c r="U258" s="26">
        <f t="shared" si="11"/>
        <v>96578.110453547066</v>
      </c>
    </row>
    <row r="259" spans="1:21" x14ac:dyDescent="0.35">
      <c r="A259" s="3" t="s">
        <v>282</v>
      </c>
      <c r="B259" s="16">
        <v>4.9641098763200005E-3</v>
      </c>
      <c r="C259" s="8" t="s">
        <v>282</v>
      </c>
      <c r="D259" s="33" t="str">
        <f t="shared" si="12"/>
        <v>No</v>
      </c>
      <c r="E259" s="25">
        <v>24272.71</v>
      </c>
      <c r="F259" s="25">
        <v>13471.29</v>
      </c>
      <c r="G259" s="25">
        <f>$B259*'Walgreens National Payments'!E$22</f>
        <v>17651.585095276583</v>
      </c>
      <c r="H259" s="25">
        <f>$B259*'Walgreens National Payments'!F$22</f>
        <v>17651.585095276583</v>
      </c>
      <c r="I259" s="25">
        <f>$B259*'Walgreens National Payments'!G$22</f>
        <v>17651.585095276583</v>
      </c>
      <c r="J259" s="25">
        <f>$B259*'Walgreens National Payments'!H$22</f>
        <v>17651.585095276583</v>
      </c>
      <c r="K259" s="25">
        <f>$B259*'Walgreens National Payments'!I$22</f>
        <v>17651.585095276583</v>
      </c>
      <c r="L259" s="25">
        <f>$B259*'Walgreens National Payments'!J$22</f>
        <v>26742.118882547129</v>
      </c>
      <c r="M259" s="25">
        <f>$B259*'Walgreens National Payments'!K$22</f>
        <v>26742.118882547129</v>
      </c>
      <c r="N259" s="25">
        <f>$B259*'Walgreens National Payments'!L$22</f>
        <v>26742.118882547129</v>
      </c>
      <c r="O259" s="25">
        <f>$B259*'Walgreens National Payments'!M$22</f>
        <v>26742.118882547129</v>
      </c>
      <c r="P259" s="25">
        <f>$B259*'Walgreens National Payments'!N$22</f>
        <v>26742.118882547129</v>
      </c>
      <c r="Q259" s="25">
        <f>$B259*'Walgreens National Payments'!O$22</f>
        <v>26742.118882547129</v>
      </c>
      <c r="R259" s="25">
        <f>$B259*'Walgreens National Payments'!P$22</f>
        <v>26742.118882547129</v>
      </c>
      <c r="S259" s="25">
        <f>$B259*'Walgreens National Payments'!Q$22</f>
        <v>26742.118882547129</v>
      </c>
      <c r="T259" s="26" t="s">
        <v>346</v>
      </c>
      <c r="U259" s="26">
        <f t="shared" si="11"/>
        <v>339938.87653675996</v>
      </c>
    </row>
    <row r="260" spans="1:21" x14ac:dyDescent="0.35">
      <c r="A260" s="3" t="s">
        <v>60</v>
      </c>
      <c r="B260" s="16">
        <v>5.757676198157949E-5</v>
      </c>
      <c r="C260" s="8" t="s">
        <v>283</v>
      </c>
      <c r="D260" s="33" t="str">
        <f t="shared" si="12"/>
        <v>Yes</v>
      </c>
      <c r="E260" s="25">
        <v>4167.3999999999996</v>
      </c>
      <c r="F260" s="48">
        <v>0</v>
      </c>
      <c r="G260" s="102">
        <v>0</v>
      </c>
      <c r="H260" s="102">
        <v>0</v>
      </c>
      <c r="I260" s="102">
        <v>0</v>
      </c>
      <c r="J260" s="102">
        <v>0</v>
      </c>
      <c r="K260" s="102">
        <v>0</v>
      </c>
      <c r="L260" s="102">
        <v>0</v>
      </c>
      <c r="M260" s="102">
        <v>0</v>
      </c>
      <c r="N260" s="102">
        <v>0</v>
      </c>
      <c r="O260" s="102">
        <v>0</v>
      </c>
      <c r="P260" s="102">
        <v>0</v>
      </c>
      <c r="Q260" s="102">
        <v>0</v>
      </c>
      <c r="R260" s="102">
        <v>0</v>
      </c>
      <c r="S260" s="102">
        <v>0</v>
      </c>
      <c r="T260" s="26" t="s">
        <v>346</v>
      </c>
      <c r="U260" s="26">
        <f t="shared" ref="U260:U281" si="13">SUM(E260:S260)</f>
        <v>4167.3999999999996</v>
      </c>
    </row>
    <row r="261" spans="1:21" x14ac:dyDescent="0.35">
      <c r="A261" s="3" t="s">
        <v>168</v>
      </c>
      <c r="B261" s="16">
        <v>3.0609535252973091E-7</v>
      </c>
      <c r="C261" s="8" t="s">
        <v>284</v>
      </c>
      <c r="D261" s="33" t="str">
        <f t="shared" si="12"/>
        <v>Yes</v>
      </c>
      <c r="E261" s="25">
        <v>22.16</v>
      </c>
      <c r="F261" s="48">
        <v>0</v>
      </c>
      <c r="G261" s="102">
        <v>0</v>
      </c>
      <c r="H261" s="102">
        <v>0</v>
      </c>
      <c r="I261" s="102">
        <v>0</v>
      </c>
      <c r="J261" s="102">
        <v>0</v>
      </c>
      <c r="K261" s="102">
        <v>0</v>
      </c>
      <c r="L261" s="102">
        <v>0</v>
      </c>
      <c r="M261" s="102">
        <v>0</v>
      </c>
      <c r="N261" s="102">
        <v>0</v>
      </c>
      <c r="O261" s="102">
        <v>0</v>
      </c>
      <c r="P261" s="102">
        <v>0</v>
      </c>
      <c r="Q261" s="102">
        <v>0</v>
      </c>
      <c r="R261" s="102">
        <v>0</v>
      </c>
      <c r="S261" s="102">
        <v>0</v>
      </c>
      <c r="T261" s="26" t="s">
        <v>346</v>
      </c>
      <c r="U261" s="26">
        <f t="shared" si="13"/>
        <v>22.16</v>
      </c>
    </row>
    <row r="262" spans="1:21" x14ac:dyDescent="0.35">
      <c r="A262" s="3" t="s">
        <v>22</v>
      </c>
      <c r="B262" s="16">
        <v>7.6929149136000007E-4</v>
      </c>
      <c r="C262" s="8" t="s">
        <v>285</v>
      </c>
      <c r="D262" s="33" t="str">
        <f t="shared" si="12"/>
        <v>No</v>
      </c>
      <c r="E262" s="25">
        <v>3761.56</v>
      </c>
      <c r="F262" s="25">
        <v>2087.65</v>
      </c>
      <c r="G262" s="25">
        <f>$B262*'Walgreens National Payments'!E$22</f>
        <v>2735.4781745644659</v>
      </c>
      <c r="H262" s="25">
        <f>$B262*'Walgreens National Payments'!F$22</f>
        <v>2735.4781745644659</v>
      </c>
      <c r="I262" s="25">
        <f>$B262*'Walgreens National Payments'!G$22</f>
        <v>2735.4781745644659</v>
      </c>
      <c r="J262" s="25">
        <f>$B262*'Walgreens National Payments'!H$22</f>
        <v>2735.4781745644659</v>
      </c>
      <c r="K262" s="25">
        <f>$B262*'Walgreens National Payments'!I$22</f>
        <v>2735.4781745644659</v>
      </c>
      <c r="L262" s="25">
        <f>$B262*'Walgreens National Payments'!J$22</f>
        <v>4144.2443922155717</v>
      </c>
      <c r="M262" s="25">
        <f>$B262*'Walgreens National Payments'!K$22</f>
        <v>4144.2443922155717</v>
      </c>
      <c r="N262" s="25">
        <f>$B262*'Walgreens National Payments'!L$22</f>
        <v>4144.2443922155717</v>
      </c>
      <c r="O262" s="25">
        <f>$B262*'Walgreens National Payments'!M$22</f>
        <v>4144.2443922155717</v>
      </c>
      <c r="P262" s="25">
        <f>$B262*'Walgreens National Payments'!N$22</f>
        <v>4144.2443922155717</v>
      </c>
      <c r="Q262" s="25">
        <f>$B262*'Walgreens National Payments'!O$22</f>
        <v>4144.2443922155717</v>
      </c>
      <c r="R262" s="25">
        <f>$B262*'Walgreens National Payments'!P$22</f>
        <v>4144.2443922155717</v>
      </c>
      <c r="S262" s="25">
        <f>$B262*'Walgreens National Payments'!Q$22</f>
        <v>4144.2443922155717</v>
      </c>
      <c r="T262" s="26" t="s">
        <v>346</v>
      </c>
      <c r="U262" s="26">
        <f t="shared" si="13"/>
        <v>52680.556010546905</v>
      </c>
    </row>
    <row r="263" spans="1:21" x14ac:dyDescent="0.35">
      <c r="A263" s="3" t="s">
        <v>31</v>
      </c>
      <c r="B263" s="16">
        <v>4.5586529889378655E-3</v>
      </c>
      <c r="C263" s="8" t="s">
        <v>31</v>
      </c>
      <c r="D263" s="33" t="str">
        <f t="shared" si="12"/>
        <v>No</v>
      </c>
      <c r="E263" s="25">
        <v>22858.18</v>
      </c>
      <c r="F263" s="25">
        <v>12370.99</v>
      </c>
      <c r="G263" s="25">
        <f>$B263*'Walgreens National Payments'!E$22</f>
        <v>16209.844898462623</v>
      </c>
      <c r="H263" s="25">
        <f>$B263*'Walgreens National Payments'!F$22</f>
        <v>16209.844898462623</v>
      </c>
      <c r="I263" s="25">
        <f>$B263*'Walgreens National Payments'!G$22</f>
        <v>16209.844898462623</v>
      </c>
      <c r="J263" s="25">
        <f>$B263*'Walgreens National Payments'!H$22</f>
        <v>16209.844898462623</v>
      </c>
      <c r="K263" s="25">
        <f>$B263*'Walgreens National Payments'!I$22</f>
        <v>16209.844898462623</v>
      </c>
      <c r="L263" s="25">
        <f>$B263*'Walgreens National Payments'!J$22</f>
        <v>24557.885141903465</v>
      </c>
      <c r="M263" s="25">
        <f>$B263*'Walgreens National Payments'!K$22</f>
        <v>24557.885141903465</v>
      </c>
      <c r="N263" s="25">
        <f>$B263*'Walgreens National Payments'!L$22</f>
        <v>24557.885141903465</v>
      </c>
      <c r="O263" s="25">
        <f>$B263*'Walgreens National Payments'!M$22</f>
        <v>24557.885141903465</v>
      </c>
      <c r="P263" s="25">
        <f>$B263*'Walgreens National Payments'!N$22</f>
        <v>24557.885141903465</v>
      </c>
      <c r="Q263" s="25">
        <f>$B263*'Walgreens National Payments'!O$22</f>
        <v>24557.885141903465</v>
      </c>
      <c r="R263" s="25">
        <f>$B263*'Walgreens National Payments'!P$22</f>
        <v>24557.885141903465</v>
      </c>
      <c r="S263" s="25">
        <f>$B263*'Walgreens National Payments'!Q$22</f>
        <v>24557.885141903465</v>
      </c>
      <c r="T263" s="26" t="s">
        <v>346</v>
      </c>
      <c r="U263" s="26">
        <f t="shared" si="13"/>
        <v>312741.4756275409</v>
      </c>
    </row>
    <row r="264" spans="1:21" x14ac:dyDescent="0.35">
      <c r="A264" s="3" t="s">
        <v>63</v>
      </c>
      <c r="B264" s="16">
        <v>5.1656580704585642E-5</v>
      </c>
      <c r="C264" s="8" t="s">
        <v>286</v>
      </c>
      <c r="D264" s="8" t="s">
        <v>337</v>
      </c>
      <c r="E264" s="25">
        <v>0</v>
      </c>
      <c r="F264" s="25">
        <v>0</v>
      </c>
      <c r="G264" s="25">
        <f>$B264*'Walgreens National Payments'!E$22</f>
        <v>183.68258414013346</v>
      </c>
      <c r="H264" s="25">
        <f>$B264*'Walgreens National Payments'!F$22</f>
        <v>183.68258414013346</v>
      </c>
      <c r="I264" s="25">
        <f>$B264*'Walgreens National Payments'!G$22</f>
        <v>183.68258414013346</v>
      </c>
      <c r="J264" s="25">
        <f>$B264*'Walgreens National Payments'!H$22</f>
        <v>183.68258414013346</v>
      </c>
      <c r="K264" s="25">
        <f>$B264*'Walgreens National Payments'!I$22</f>
        <v>183.68258414013346</v>
      </c>
      <c r="L264" s="25">
        <f>$B264*'Walgreens National Payments'!J$22</f>
        <v>278.27877639404409</v>
      </c>
      <c r="M264" s="25">
        <f>$B264*'Walgreens National Payments'!K$22</f>
        <v>278.27877639404409</v>
      </c>
      <c r="N264" s="25">
        <f>$B264*'Walgreens National Payments'!L$22</f>
        <v>278.27877639404409</v>
      </c>
      <c r="O264" s="25">
        <f>$B264*'Walgreens National Payments'!M$22</f>
        <v>278.27877639404409</v>
      </c>
      <c r="P264" s="25">
        <f>$B264*'Walgreens National Payments'!N$22</f>
        <v>278.27877639404409</v>
      </c>
      <c r="Q264" s="25">
        <f>$B264*'Walgreens National Payments'!O$22</f>
        <v>278.27877639404409</v>
      </c>
      <c r="R264" s="25">
        <f>$B264*'Walgreens National Payments'!P$22</f>
        <v>278.27877639404409</v>
      </c>
      <c r="S264" s="25">
        <f>$B264*'Walgreens National Payments'!Q$22</f>
        <v>278.27877639404409</v>
      </c>
      <c r="T264" s="26" t="s">
        <v>346</v>
      </c>
      <c r="U264" s="26">
        <f t="shared" si="13"/>
        <v>3144.6431318530203</v>
      </c>
    </row>
    <row r="265" spans="1:21" x14ac:dyDescent="0.35">
      <c r="A265" s="3" t="s">
        <v>14</v>
      </c>
      <c r="B265" s="16">
        <v>3.4487897129946177E-4</v>
      </c>
      <c r="C265" s="8" t="s">
        <v>287</v>
      </c>
      <c r="D265" s="33" t="str">
        <f t="shared" ref="D265:D276" si="14">IF(B265&lt;0.000083,"Yes","No")</f>
        <v>No</v>
      </c>
      <c r="E265" s="25">
        <v>1686.33</v>
      </c>
      <c r="F265" s="25">
        <v>935.91</v>
      </c>
      <c r="G265" s="25">
        <f>$B265*'Walgreens National Payments'!E$22</f>
        <v>1226.3347631573399</v>
      </c>
      <c r="H265" s="25">
        <f>$B265*'Walgreens National Payments'!F$22</f>
        <v>1226.3347631573399</v>
      </c>
      <c r="I265" s="25">
        <f>$B265*'Walgreens National Payments'!G$22</f>
        <v>1226.3347631573399</v>
      </c>
      <c r="J265" s="25">
        <f>$B265*'Walgreens National Payments'!H$22</f>
        <v>1226.3347631573399</v>
      </c>
      <c r="K265" s="25">
        <f>$B265*'Walgreens National Payments'!I$22</f>
        <v>1226.3347631573399</v>
      </c>
      <c r="L265" s="25">
        <f>$B265*'Walgreens National Payments'!J$22</f>
        <v>1857.8949057062005</v>
      </c>
      <c r="M265" s="25">
        <f>$B265*'Walgreens National Payments'!K$22</f>
        <v>1857.8949057062005</v>
      </c>
      <c r="N265" s="25">
        <f>$B265*'Walgreens National Payments'!L$22</f>
        <v>1857.8949057062005</v>
      </c>
      <c r="O265" s="25">
        <f>$B265*'Walgreens National Payments'!M$22</f>
        <v>1857.8949057062005</v>
      </c>
      <c r="P265" s="25">
        <f>$B265*'Walgreens National Payments'!N$22</f>
        <v>1857.8949057062005</v>
      </c>
      <c r="Q265" s="25">
        <f>$B265*'Walgreens National Payments'!O$22</f>
        <v>1857.8949057062005</v>
      </c>
      <c r="R265" s="25">
        <f>$B265*'Walgreens National Payments'!P$22</f>
        <v>1857.8949057062005</v>
      </c>
      <c r="S265" s="25">
        <f>$B265*'Walgreens National Payments'!Q$22</f>
        <v>1857.8949057062005</v>
      </c>
      <c r="T265" s="26" t="s">
        <v>346</v>
      </c>
      <c r="U265" s="26">
        <f t="shared" si="13"/>
        <v>23617.073061436306</v>
      </c>
    </row>
    <row r="266" spans="1:21" x14ac:dyDescent="0.35">
      <c r="A266" s="3" t="s">
        <v>75</v>
      </c>
      <c r="B266" s="16">
        <v>1.3154129039520002E-2</v>
      </c>
      <c r="C266" s="8" t="s">
        <v>288</v>
      </c>
      <c r="D266" s="33" t="str">
        <f t="shared" si="14"/>
        <v>No</v>
      </c>
      <c r="E266" s="25">
        <v>64318.97</v>
      </c>
      <c r="F266" s="25">
        <v>35696.85</v>
      </c>
      <c r="G266" s="25">
        <f>$B266*'Walgreens National Payments'!E$22</f>
        <v>46773.990479732172</v>
      </c>
      <c r="H266" s="25">
        <f>$B266*'Walgreens National Payments'!F$22</f>
        <v>46773.990479732172</v>
      </c>
      <c r="I266" s="25">
        <f>$B266*'Walgreens National Payments'!G$22</f>
        <v>46773.990479732172</v>
      </c>
      <c r="J266" s="25">
        <f>$B266*'Walgreens National Payments'!H$22</f>
        <v>46773.990479732172</v>
      </c>
      <c r="K266" s="25">
        <f>$B266*'Walgreens National Payments'!I$22</f>
        <v>46773.990479732172</v>
      </c>
      <c r="L266" s="25">
        <f>$B266*'Walgreens National Payments'!J$22</f>
        <v>70862.509359277799</v>
      </c>
      <c r="M266" s="25">
        <f>$B266*'Walgreens National Payments'!K$22</f>
        <v>70862.509359277799</v>
      </c>
      <c r="N266" s="25">
        <f>$B266*'Walgreens National Payments'!L$22</f>
        <v>70862.509359277799</v>
      </c>
      <c r="O266" s="25">
        <f>$B266*'Walgreens National Payments'!M$22</f>
        <v>70862.509359277799</v>
      </c>
      <c r="P266" s="25">
        <f>$B266*'Walgreens National Payments'!N$22</f>
        <v>70862.509359277799</v>
      </c>
      <c r="Q266" s="25">
        <f>$B266*'Walgreens National Payments'!O$22</f>
        <v>70862.509359277799</v>
      </c>
      <c r="R266" s="25">
        <f>$B266*'Walgreens National Payments'!P$22</f>
        <v>70862.509359277799</v>
      </c>
      <c r="S266" s="25">
        <f>$B266*'Walgreens National Payments'!Q$22</f>
        <v>70862.509359277799</v>
      </c>
      <c r="T266" s="26" t="s">
        <v>346</v>
      </c>
      <c r="U266" s="26">
        <f t="shared" si="13"/>
        <v>900785.84727288317</v>
      </c>
    </row>
    <row r="267" spans="1:21" x14ac:dyDescent="0.35">
      <c r="A267" s="3" t="s">
        <v>75</v>
      </c>
      <c r="B267" s="16">
        <v>4.8332605371401058E-4</v>
      </c>
      <c r="C267" s="8" t="s">
        <v>289</v>
      </c>
      <c r="D267" s="33" t="str">
        <f t="shared" si="14"/>
        <v>No</v>
      </c>
      <c r="E267" s="25">
        <v>2363.29</v>
      </c>
      <c r="F267" s="25">
        <v>1311.62</v>
      </c>
      <c r="G267" s="25">
        <f>$B267*'Walgreens National Payments'!E$22</f>
        <v>1718.6305658934443</v>
      </c>
      <c r="H267" s="25">
        <f>$B267*'Walgreens National Payments'!F$22</f>
        <v>1718.6305658934443</v>
      </c>
      <c r="I267" s="25">
        <f>$B267*'Walgreens National Payments'!G$22</f>
        <v>1718.6305658934443</v>
      </c>
      <c r="J267" s="25">
        <f>$B267*'Walgreens National Payments'!H$22</f>
        <v>1718.6305658934443</v>
      </c>
      <c r="K267" s="25">
        <f>$B267*'Walgreens National Payments'!I$22</f>
        <v>1718.6305658934443</v>
      </c>
      <c r="L267" s="25">
        <f>$B267*'Walgreens National Payments'!J$22</f>
        <v>2603.7221394128619</v>
      </c>
      <c r="M267" s="25">
        <f>$B267*'Walgreens National Payments'!K$22</f>
        <v>2603.7221394128619</v>
      </c>
      <c r="N267" s="25">
        <f>$B267*'Walgreens National Payments'!L$22</f>
        <v>2603.7221394128619</v>
      </c>
      <c r="O267" s="25">
        <f>$B267*'Walgreens National Payments'!M$22</f>
        <v>2603.7221394128619</v>
      </c>
      <c r="P267" s="25">
        <f>$B267*'Walgreens National Payments'!N$22</f>
        <v>2603.7221394128619</v>
      </c>
      <c r="Q267" s="25">
        <f>$B267*'Walgreens National Payments'!O$22</f>
        <v>2603.7221394128619</v>
      </c>
      <c r="R267" s="25">
        <f>$B267*'Walgreens National Payments'!P$22</f>
        <v>2603.7221394128619</v>
      </c>
      <c r="S267" s="25">
        <f>$B267*'Walgreens National Payments'!Q$22</f>
        <v>2603.7221394128619</v>
      </c>
      <c r="T267" s="26" t="s">
        <v>346</v>
      </c>
      <c r="U267" s="26">
        <f t="shared" si="13"/>
        <v>33097.839944770109</v>
      </c>
    </row>
    <row r="268" spans="1:21" x14ac:dyDescent="0.35">
      <c r="A268" s="3" t="s">
        <v>28</v>
      </c>
      <c r="B268" s="16">
        <v>2.6615292034240005E-2</v>
      </c>
      <c r="C268" s="8" t="s">
        <v>28</v>
      </c>
      <c r="D268" s="33" t="str">
        <f t="shared" si="14"/>
        <v>No</v>
      </c>
      <c r="E268" s="25">
        <v>130139.22</v>
      </c>
      <c r="F268" s="25">
        <v>72226.91</v>
      </c>
      <c r="G268" s="25">
        <f>$B268*'Walgreens National Payments'!E$22</f>
        <v>94639.74486525642</v>
      </c>
      <c r="H268" s="25">
        <f>$B268*'Walgreens National Payments'!F$22</f>
        <v>94639.74486525642</v>
      </c>
      <c r="I268" s="25">
        <f>$B268*'Walgreens National Payments'!G$22</f>
        <v>94639.74486525642</v>
      </c>
      <c r="J268" s="25">
        <f>$B268*'Walgreens National Payments'!H$22</f>
        <v>94639.74486525642</v>
      </c>
      <c r="K268" s="25">
        <f>$B268*'Walgreens National Payments'!I$22</f>
        <v>94639.74486525642</v>
      </c>
      <c r="L268" s="25">
        <f>$B268*'Walgreens National Payments'!J$22</f>
        <v>143379.03902340506</v>
      </c>
      <c r="M268" s="25">
        <f>$B268*'Walgreens National Payments'!K$22</f>
        <v>143379.03902340506</v>
      </c>
      <c r="N268" s="25">
        <f>$B268*'Walgreens National Payments'!L$22</f>
        <v>143379.03902340506</v>
      </c>
      <c r="O268" s="25">
        <f>$B268*'Walgreens National Payments'!M$22</f>
        <v>143379.03902340506</v>
      </c>
      <c r="P268" s="25">
        <f>$B268*'Walgreens National Payments'!N$22</f>
        <v>143379.03902340506</v>
      </c>
      <c r="Q268" s="25">
        <f>$B268*'Walgreens National Payments'!O$22</f>
        <v>143379.03902340506</v>
      </c>
      <c r="R268" s="25">
        <f>$B268*'Walgreens National Payments'!P$22</f>
        <v>143379.03902340506</v>
      </c>
      <c r="S268" s="25">
        <f>$B268*'Walgreens National Payments'!Q$22</f>
        <v>143379.03902340506</v>
      </c>
      <c r="T268" s="26" t="s">
        <v>346</v>
      </c>
      <c r="U268" s="26">
        <f t="shared" si="13"/>
        <v>1822597.1665135222</v>
      </c>
    </row>
    <row r="269" spans="1:21" x14ac:dyDescent="0.35">
      <c r="A269" s="3" t="s">
        <v>34</v>
      </c>
      <c r="B269" s="16">
        <v>1.306353444363766E-3</v>
      </c>
      <c r="C269" s="8" t="s">
        <v>290</v>
      </c>
      <c r="D269" s="33" t="str">
        <f t="shared" si="14"/>
        <v>No</v>
      </c>
      <c r="E269" s="25">
        <v>6387.6</v>
      </c>
      <c r="F269" s="25">
        <v>3545.1</v>
      </c>
      <c r="G269" s="25">
        <f>$B269*'Walgreens National Payments'!E$22</f>
        <v>4645.1850507364188</v>
      </c>
      <c r="H269" s="25">
        <f>$B269*'Walgreens National Payments'!F$22</f>
        <v>4645.1850507364188</v>
      </c>
      <c r="I269" s="25">
        <f>$B269*'Walgreens National Payments'!G$22</f>
        <v>4645.1850507364188</v>
      </c>
      <c r="J269" s="25">
        <f>$B269*'Walgreens National Payments'!H$22</f>
        <v>4645.1850507364188</v>
      </c>
      <c r="K269" s="25">
        <f>$B269*'Walgreens National Payments'!I$22</f>
        <v>4645.1850507364188</v>
      </c>
      <c r="L269" s="25">
        <f>$B269*'Walgreens National Payments'!J$22</f>
        <v>7037.446789493416</v>
      </c>
      <c r="M269" s="25">
        <f>$B269*'Walgreens National Payments'!K$22</f>
        <v>7037.446789493416</v>
      </c>
      <c r="N269" s="25">
        <f>$B269*'Walgreens National Payments'!L$22</f>
        <v>7037.446789493416</v>
      </c>
      <c r="O269" s="25">
        <f>$B269*'Walgreens National Payments'!M$22</f>
        <v>7037.446789493416</v>
      </c>
      <c r="P269" s="25">
        <f>$B269*'Walgreens National Payments'!N$22</f>
        <v>7037.446789493416</v>
      </c>
      <c r="Q269" s="25">
        <f>$B269*'Walgreens National Payments'!O$22</f>
        <v>7037.446789493416</v>
      </c>
      <c r="R269" s="25">
        <f>$B269*'Walgreens National Payments'!P$22</f>
        <v>7037.446789493416</v>
      </c>
      <c r="S269" s="25">
        <f>$B269*'Walgreens National Payments'!Q$22</f>
        <v>7037.446789493416</v>
      </c>
      <c r="T269" s="26" t="s">
        <v>346</v>
      </c>
      <c r="U269" s="26">
        <f t="shared" si="13"/>
        <v>89458.199569629418</v>
      </c>
    </row>
    <row r="270" spans="1:21" x14ac:dyDescent="0.35">
      <c r="A270" s="3" t="s">
        <v>22</v>
      </c>
      <c r="B270" s="16">
        <v>9.3847771248000008E-4</v>
      </c>
      <c r="C270" s="8" t="s">
        <v>291</v>
      </c>
      <c r="D270" s="33" t="str">
        <f t="shared" si="14"/>
        <v>No</v>
      </c>
      <c r="E270" s="25">
        <v>4588.82</v>
      </c>
      <c r="F270" s="25">
        <v>2546.7800000000002</v>
      </c>
      <c r="G270" s="25">
        <f>$B270*'Walgreens National Payments'!E$22</f>
        <v>3337.0774649616897</v>
      </c>
      <c r="H270" s="25">
        <f>$B270*'Walgreens National Payments'!F$22</f>
        <v>3337.0774649616897</v>
      </c>
      <c r="I270" s="25">
        <f>$B270*'Walgreens National Payments'!G$22</f>
        <v>3337.0774649616897</v>
      </c>
      <c r="J270" s="25">
        <f>$B270*'Walgreens National Payments'!H$22</f>
        <v>3337.0774649616897</v>
      </c>
      <c r="K270" s="25">
        <f>$B270*'Walgreens National Payments'!I$22</f>
        <v>3337.0774649616897</v>
      </c>
      <c r="L270" s="25">
        <f>$B270*'Walgreens National Payments'!J$22</f>
        <v>5055.6662082520006</v>
      </c>
      <c r="M270" s="25">
        <f>$B270*'Walgreens National Payments'!K$22</f>
        <v>5055.6662082520006</v>
      </c>
      <c r="N270" s="25">
        <f>$B270*'Walgreens National Payments'!L$22</f>
        <v>5055.6662082520006</v>
      </c>
      <c r="O270" s="25">
        <f>$B270*'Walgreens National Payments'!M$22</f>
        <v>5055.6662082520006</v>
      </c>
      <c r="P270" s="25">
        <f>$B270*'Walgreens National Payments'!N$22</f>
        <v>5055.6662082520006</v>
      </c>
      <c r="Q270" s="25">
        <f>$B270*'Walgreens National Payments'!O$22</f>
        <v>5055.6662082520006</v>
      </c>
      <c r="R270" s="25">
        <f>$B270*'Walgreens National Payments'!P$22</f>
        <v>5055.6662082520006</v>
      </c>
      <c r="S270" s="25">
        <f>$B270*'Walgreens National Payments'!Q$22</f>
        <v>5055.6662082520006</v>
      </c>
      <c r="T270" s="26" t="s">
        <v>346</v>
      </c>
      <c r="U270" s="26">
        <f t="shared" si="13"/>
        <v>64266.316990824438</v>
      </c>
    </row>
    <row r="271" spans="1:21" x14ac:dyDescent="0.35">
      <c r="A271" s="3" t="s">
        <v>22</v>
      </c>
      <c r="B271" s="16">
        <v>0.11408752734624</v>
      </c>
      <c r="C271" s="8" t="s">
        <v>22</v>
      </c>
      <c r="D271" s="33" t="str">
        <f t="shared" si="14"/>
        <v>No</v>
      </c>
      <c r="E271" s="25">
        <v>557847.04000000004</v>
      </c>
      <c r="F271" s="25">
        <v>309603.57</v>
      </c>
      <c r="G271" s="25">
        <f>$B271*'Walgreens National Payments'!E$22</f>
        <v>405677.09970890923</v>
      </c>
      <c r="H271" s="25">
        <f>$B271*'Walgreens National Payments'!F$22</f>
        <v>405677.09970890923</v>
      </c>
      <c r="I271" s="25">
        <f>$B271*'Walgreens National Payments'!G$22</f>
        <v>405677.09970890923</v>
      </c>
      <c r="J271" s="25">
        <f>$B271*'Walgreens National Payments'!H$22</f>
        <v>405677.09970890923</v>
      </c>
      <c r="K271" s="25">
        <f>$B271*'Walgreens National Payments'!I$22</f>
        <v>405677.09970890923</v>
      </c>
      <c r="L271" s="25">
        <f>$B271*'Walgreens National Payments'!J$22</f>
        <v>614600.05828290095</v>
      </c>
      <c r="M271" s="25">
        <f>$B271*'Walgreens National Payments'!K$22</f>
        <v>614600.05828290095</v>
      </c>
      <c r="N271" s="25">
        <f>$B271*'Walgreens National Payments'!L$22</f>
        <v>614600.05828290095</v>
      </c>
      <c r="O271" s="25">
        <f>$B271*'Walgreens National Payments'!M$22</f>
        <v>614600.05828290095</v>
      </c>
      <c r="P271" s="25">
        <f>$B271*'Walgreens National Payments'!N$22</f>
        <v>614600.05828290095</v>
      </c>
      <c r="Q271" s="25">
        <f>$B271*'Walgreens National Payments'!O$22</f>
        <v>614600.05828290095</v>
      </c>
      <c r="R271" s="25">
        <f>$B271*'Walgreens National Payments'!P$22</f>
        <v>614600.05828290095</v>
      </c>
      <c r="S271" s="25">
        <f>$B271*'Walgreens National Payments'!Q$22</f>
        <v>614600.05828290095</v>
      </c>
      <c r="T271" s="26" t="s">
        <v>346</v>
      </c>
      <c r="U271" s="26">
        <f t="shared" si="13"/>
        <v>7812636.5748077519</v>
      </c>
    </row>
    <row r="272" spans="1:21" x14ac:dyDescent="0.35">
      <c r="A272" s="3" t="s">
        <v>34</v>
      </c>
      <c r="B272" s="16">
        <v>1.5671696722706324E-3</v>
      </c>
      <c r="C272" s="8" t="s">
        <v>292</v>
      </c>
      <c r="D272" s="33" t="str">
        <f t="shared" si="14"/>
        <v>No</v>
      </c>
      <c r="E272" s="25">
        <v>7662.9</v>
      </c>
      <c r="F272" s="25">
        <v>4252.8900000000003</v>
      </c>
      <c r="G272" s="25">
        <f>$B272*'Walgreens National Payments'!E$22</f>
        <v>5572.6060699786467</v>
      </c>
      <c r="H272" s="25">
        <f>$B272*'Walgreens National Payments'!F$22</f>
        <v>5572.6060699786467</v>
      </c>
      <c r="I272" s="25">
        <f>$B272*'Walgreens National Payments'!G$22</f>
        <v>5572.6060699786467</v>
      </c>
      <c r="J272" s="25">
        <f>$B272*'Walgreens National Payments'!H$22</f>
        <v>5572.6060699786467</v>
      </c>
      <c r="K272" s="25">
        <f>$B272*'Walgreens National Payments'!I$22</f>
        <v>5572.6060699786467</v>
      </c>
      <c r="L272" s="25">
        <f>$B272*'Walgreens National Payments'!J$22</f>
        <v>8442.4879241496619</v>
      </c>
      <c r="M272" s="25">
        <f>$B272*'Walgreens National Payments'!K$22</f>
        <v>8442.4879241496619</v>
      </c>
      <c r="N272" s="25">
        <f>$B272*'Walgreens National Payments'!L$22</f>
        <v>8442.4879241496619</v>
      </c>
      <c r="O272" s="25">
        <f>$B272*'Walgreens National Payments'!M$22</f>
        <v>8442.4879241496619</v>
      </c>
      <c r="P272" s="25">
        <f>$B272*'Walgreens National Payments'!N$22</f>
        <v>8442.4879241496619</v>
      </c>
      <c r="Q272" s="25">
        <f>$B272*'Walgreens National Payments'!O$22</f>
        <v>8442.4879241496619</v>
      </c>
      <c r="R272" s="25">
        <f>$B272*'Walgreens National Payments'!P$22</f>
        <v>8442.4879241496619</v>
      </c>
      <c r="S272" s="25">
        <f>$B272*'Walgreens National Payments'!Q$22</f>
        <v>8442.4879241496619</v>
      </c>
      <c r="T272" s="26" t="s">
        <v>346</v>
      </c>
      <c r="U272" s="26">
        <f t="shared" si="13"/>
        <v>107318.72374309055</v>
      </c>
    </row>
    <row r="273" spans="1:24" x14ac:dyDescent="0.35">
      <c r="A273" s="3" t="s">
        <v>22</v>
      </c>
      <c r="B273" s="16">
        <v>3.6531164913600001E-3</v>
      </c>
      <c r="C273" s="8" t="s">
        <v>293</v>
      </c>
      <c r="D273" s="33" t="str">
        <f t="shared" si="14"/>
        <v>No</v>
      </c>
      <c r="E273" s="25">
        <v>17862.43</v>
      </c>
      <c r="F273" s="25">
        <v>9913.6</v>
      </c>
      <c r="G273" s="25">
        <f>$B273*'Walgreens National Payments'!E$22</f>
        <v>12989.901153840314</v>
      </c>
      <c r="H273" s="25">
        <f>$B273*'Walgreens National Payments'!F$22</f>
        <v>12989.901153840314</v>
      </c>
      <c r="I273" s="25">
        <f>$B273*'Walgreens National Payments'!G$22</f>
        <v>12989.901153840314</v>
      </c>
      <c r="J273" s="25">
        <f>$B273*'Walgreens National Payments'!H$22</f>
        <v>12989.901153840314</v>
      </c>
      <c r="K273" s="25">
        <f>$B273*'Walgreens National Payments'!I$22</f>
        <v>12989.901153840314</v>
      </c>
      <c r="L273" s="25">
        <f>$B273*'Walgreens National Payments'!J$22</f>
        <v>19679.676304055494</v>
      </c>
      <c r="M273" s="25">
        <f>$B273*'Walgreens National Payments'!K$22</f>
        <v>19679.676304055494</v>
      </c>
      <c r="N273" s="25">
        <f>$B273*'Walgreens National Payments'!L$22</f>
        <v>19679.676304055494</v>
      </c>
      <c r="O273" s="25">
        <f>$B273*'Walgreens National Payments'!M$22</f>
        <v>19679.676304055494</v>
      </c>
      <c r="P273" s="25">
        <f>$B273*'Walgreens National Payments'!N$22</f>
        <v>19679.676304055494</v>
      </c>
      <c r="Q273" s="25">
        <f>$B273*'Walgreens National Payments'!O$22</f>
        <v>19679.676304055494</v>
      </c>
      <c r="R273" s="25">
        <f>$B273*'Walgreens National Payments'!P$22</f>
        <v>19679.676304055494</v>
      </c>
      <c r="S273" s="25">
        <f>$B273*'Walgreens National Payments'!Q$22</f>
        <v>19679.676304055494</v>
      </c>
      <c r="T273" s="26" t="s">
        <v>346</v>
      </c>
      <c r="U273" s="26">
        <f t="shared" si="13"/>
        <v>250162.94620164554</v>
      </c>
    </row>
    <row r="274" spans="1:24" x14ac:dyDescent="0.35">
      <c r="A274" s="3" t="s">
        <v>66</v>
      </c>
      <c r="B274" s="16">
        <v>3.3453814497600002E-3</v>
      </c>
      <c r="C274" s="8" t="s">
        <v>66</v>
      </c>
      <c r="D274" s="33" t="str">
        <f t="shared" si="14"/>
        <v>No</v>
      </c>
      <c r="E274" s="25">
        <v>16357.71</v>
      </c>
      <c r="F274" s="25">
        <v>9078.49</v>
      </c>
      <c r="G274" s="25">
        <f>$B274*'Walgreens National Payments'!E$22</f>
        <v>11895.644296329387</v>
      </c>
      <c r="H274" s="25">
        <f>$B274*'Walgreens National Payments'!F$22</f>
        <v>11895.644296329387</v>
      </c>
      <c r="I274" s="25">
        <f>$B274*'Walgreens National Payments'!G$22</f>
        <v>11895.644296329387</v>
      </c>
      <c r="J274" s="25">
        <f>$B274*'Walgreens National Payments'!H$22</f>
        <v>11895.644296329387</v>
      </c>
      <c r="K274" s="25">
        <f>$B274*'Walgreens National Payments'!I$22</f>
        <v>11895.644296329387</v>
      </c>
      <c r="L274" s="25">
        <f>$B274*'Walgreens National Payments'!J$22</f>
        <v>18021.879181947177</v>
      </c>
      <c r="M274" s="25">
        <f>$B274*'Walgreens National Payments'!K$22</f>
        <v>18021.879181947177</v>
      </c>
      <c r="N274" s="25">
        <f>$B274*'Walgreens National Payments'!L$22</f>
        <v>18021.879181947177</v>
      </c>
      <c r="O274" s="25">
        <f>$B274*'Walgreens National Payments'!M$22</f>
        <v>18021.879181947177</v>
      </c>
      <c r="P274" s="25">
        <f>$B274*'Walgreens National Payments'!N$22</f>
        <v>18021.879181947177</v>
      </c>
      <c r="Q274" s="25">
        <f>$B274*'Walgreens National Payments'!O$22</f>
        <v>18021.879181947177</v>
      </c>
      <c r="R274" s="25">
        <f>$B274*'Walgreens National Payments'!P$22</f>
        <v>18021.879181947177</v>
      </c>
      <c r="S274" s="25">
        <f>$B274*'Walgreens National Payments'!Q$22</f>
        <v>18021.879181947177</v>
      </c>
      <c r="T274" s="26" t="s">
        <v>346</v>
      </c>
      <c r="U274" s="26">
        <f t="shared" si="13"/>
        <v>229089.45493722436</v>
      </c>
    </row>
    <row r="275" spans="1:24" x14ac:dyDescent="0.35">
      <c r="A275" s="3" t="s">
        <v>34</v>
      </c>
      <c r="B275" s="16">
        <v>3.4982406091484461E-4</v>
      </c>
      <c r="C275" s="8" t="s">
        <v>294</v>
      </c>
      <c r="D275" s="33" t="str">
        <f t="shared" si="14"/>
        <v>No</v>
      </c>
      <c r="E275" s="25">
        <v>1710.51</v>
      </c>
      <c r="F275" s="25">
        <v>949.33</v>
      </c>
      <c r="G275" s="25">
        <f>$B275*'Walgreens National Payments'!E$22</f>
        <v>1243.9187152302154</v>
      </c>
      <c r="H275" s="25">
        <f>$B275*'Walgreens National Payments'!F$22</f>
        <v>1243.9187152302154</v>
      </c>
      <c r="I275" s="25">
        <f>$B275*'Walgreens National Payments'!G$22</f>
        <v>1243.9187152302154</v>
      </c>
      <c r="J275" s="25">
        <f>$B275*'Walgreens National Payments'!H$22</f>
        <v>1243.9187152302154</v>
      </c>
      <c r="K275" s="25">
        <f>$B275*'Walgreens National Payments'!I$22</f>
        <v>1243.9187152302154</v>
      </c>
      <c r="L275" s="25">
        <f>$B275*'Walgreens National Payments'!J$22</f>
        <v>1884.5345606844764</v>
      </c>
      <c r="M275" s="25">
        <f>$B275*'Walgreens National Payments'!K$22</f>
        <v>1884.5345606844764</v>
      </c>
      <c r="N275" s="25">
        <f>$B275*'Walgreens National Payments'!L$22</f>
        <v>1884.5345606844764</v>
      </c>
      <c r="O275" s="25">
        <f>$B275*'Walgreens National Payments'!M$22</f>
        <v>1884.5345606844764</v>
      </c>
      <c r="P275" s="25">
        <f>$B275*'Walgreens National Payments'!N$22</f>
        <v>1884.5345606844764</v>
      </c>
      <c r="Q275" s="25">
        <f>$B275*'Walgreens National Payments'!O$22</f>
        <v>1884.5345606844764</v>
      </c>
      <c r="R275" s="25">
        <f>$B275*'Walgreens National Payments'!P$22</f>
        <v>1884.5345606844764</v>
      </c>
      <c r="S275" s="25">
        <f>$B275*'Walgreens National Payments'!Q$22</f>
        <v>1884.5345606844764</v>
      </c>
      <c r="T275" s="26" t="s">
        <v>346</v>
      </c>
      <c r="U275" s="26">
        <f t="shared" si="13"/>
        <v>23955.710061626884</v>
      </c>
    </row>
    <row r="276" spans="1:24" x14ac:dyDescent="0.35">
      <c r="A276" s="3" t="s">
        <v>34</v>
      </c>
      <c r="B276" s="16">
        <v>2.2074607648649763E-4</v>
      </c>
      <c r="C276" s="8" t="s">
        <v>295</v>
      </c>
      <c r="D276" s="33" t="str">
        <f t="shared" si="14"/>
        <v>No</v>
      </c>
      <c r="E276" s="25">
        <v>1079.3699999999999</v>
      </c>
      <c r="F276" s="25">
        <v>599.04999999999995</v>
      </c>
      <c r="G276" s="25">
        <f>$B276*'Walgreens National Payments'!E$22</f>
        <v>784.93793462090275</v>
      </c>
      <c r="H276" s="25">
        <f>$B276*'Walgreens National Payments'!F$22</f>
        <v>784.93793462090275</v>
      </c>
      <c r="I276" s="25">
        <f>$B276*'Walgreens National Payments'!G$22</f>
        <v>784.93793462090275</v>
      </c>
      <c r="J276" s="25">
        <f>$B276*'Walgreens National Payments'!H$22</f>
        <v>784.93793462090275</v>
      </c>
      <c r="K276" s="25">
        <f>$B276*'Walgreens National Payments'!I$22</f>
        <v>784.93793462090275</v>
      </c>
      <c r="L276" s="25">
        <f>$B276*'Walgreens National Payments'!J$22</f>
        <v>1189.1795240910221</v>
      </c>
      <c r="M276" s="25">
        <f>$B276*'Walgreens National Payments'!K$22</f>
        <v>1189.1795240910221</v>
      </c>
      <c r="N276" s="25">
        <f>$B276*'Walgreens National Payments'!L$22</f>
        <v>1189.1795240910221</v>
      </c>
      <c r="O276" s="25">
        <f>$B276*'Walgreens National Payments'!M$22</f>
        <v>1189.1795240910221</v>
      </c>
      <c r="P276" s="25">
        <f>$B276*'Walgreens National Payments'!N$22</f>
        <v>1189.1795240910221</v>
      </c>
      <c r="Q276" s="25">
        <f>$B276*'Walgreens National Payments'!O$22</f>
        <v>1189.1795240910221</v>
      </c>
      <c r="R276" s="25">
        <f>$B276*'Walgreens National Payments'!P$22</f>
        <v>1189.1795240910221</v>
      </c>
      <c r="S276" s="25">
        <f>$B276*'Walgreens National Payments'!Q$22</f>
        <v>1189.1795240910221</v>
      </c>
      <c r="T276" s="26" t="s">
        <v>346</v>
      </c>
      <c r="U276" s="26">
        <f t="shared" si="13"/>
        <v>15116.545865832686</v>
      </c>
    </row>
    <row r="277" spans="1:24" x14ac:dyDescent="0.35">
      <c r="A277" s="3" t="s">
        <v>22</v>
      </c>
      <c r="B277" s="16">
        <v>3.4175249817315688E-4</v>
      </c>
      <c r="C277" s="8" t="s">
        <v>296</v>
      </c>
      <c r="D277" s="8" t="s">
        <v>336</v>
      </c>
      <c r="E277" s="25">
        <v>1671.05</v>
      </c>
      <c r="F277" s="25">
        <v>927.43</v>
      </c>
      <c r="G277" s="25">
        <f>$B277*'Walgreens National Payments'!E$22</f>
        <v>1215.2175220381773</v>
      </c>
      <c r="H277" s="25">
        <f>$B277*'Walgreens National Payments'!F$22</f>
        <v>1215.2175220381773</v>
      </c>
      <c r="I277" s="25">
        <f>$B277*'Walgreens National Payments'!G$22</f>
        <v>1215.2175220381773</v>
      </c>
      <c r="J277" s="25">
        <f>$B277*'Walgreens National Payments'!H$22</f>
        <v>1215.2175220381773</v>
      </c>
      <c r="K277" s="25">
        <f>$B277*'Walgreens National Payments'!I$22</f>
        <v>1215.2175220381773</v>
      </c>
      <c r="L277" s="25">
        <f>$B277*'Walgreens National Payments'!J$22</f>
        <v>1841.0523059028465</v>
      </c>
      <c r="M277" s="25">
        <f>$B277*'Walgreens National Payments'!K$22</f>
        <v>1841.0523059028465</v>
      </c>
      <c r="N277" s="25">
        <f>$B277*'Walgreens National Payments'!L$22</f>
        <v>1841.0523059028465</v>
      </c>
      <c r="O277" s="25">
        <f>$B277*'Walgreens National Payments'!M$22</f>
        <v>1841.0523059028465</v>
      </c>
      <c r="P277" s="25">
        <f>$B277*'Walgreens National Payments'!N$22</f>
        <v>1841.0523059028465</v>
      </c>
      <c r="Q277" s="25">
        <f>$B277*'Walgreens National Payments'!O$22</f>
        <v>1841.0523059028465</v>
      </c>
      <c r="R277" s="25">
        <f>$B277*'Walgreens National Payments'!P$22</f>
        <v>1841.0523059028465</v>
      </c>
      <c r="S277" s="25">
        <f>$B277*'Walgreens National Payments'!Q$22</f>
        <v>1841.0523059028465</v>
      </c>
      <c r="T277" s="26" t="s">
        <v>346</v>
      </c>
      <c r="U277" s="26">
        <f t="shared" si="13"/>
        <v>23402.986057413655</v>
      </c>
    </row>
    <row r="278" spans="1:24" x14ac:dyDescent="0.35">
      <c r="A278" s="3" t="s">
        <v>22</v>
      </c>
      <c r="B278" s="16">
        <v>5.8366538543403043E-4</v>
      </c>
      <c r="C278" s="8" t="s">
        <v>297</v>
      </c>
      <c r="D278" s="33" t="str">
        <f t="shared" ref="D278:D282" si="15">IF(B278&lt;0.000083,"Yes","No")</f>
        <v>No</v>
      </c>
      <c r="E278" s="25">
        <v>2853.91</v>
      </c>
      <c r="F278" s="25">
        <v>1583.91</v>
      </c>
      <c r="G278" s="25">
        <f>$B278*'Walgreens National Payments'!E$22</f>
        <v>2075.4212688365678</v>
      </c>
      <c r="H278" s="25">
        <f>$B278*'Walgreens National Payments'!F$22</f>
        <v>2075.4212688365678</v>
      </c>
      <c r="I278" s="25">
        <f>$B278*'Walgreens National Payments'!G$22</f>
        <v>2075.4212688365678</v>
      </c>
      <c r="J278" s="25">
        <f>$B278*'Walgreens National Payments'!H$22</f>
        <v>2075.4212688365678</v>
      </c>
      <c r="K278" s="25">
        <f>$B278*'Walgreens National Payments'!I$22</f>
        <v>2075.4212688365678</v>
      </c>
      <c r="L278" s="25">
        <f>$B278*'Walgreens National Payments'!J$22</f>
        <v>3144.2593967068683</v>
      </c>
      <c r="M278" s="25">
        <f>$B278*'Walgreens National Payments'!K$22</f>
        <v>3144.2593967068683</v>
      </c>
      <c r="N278" s="25">
        <f>$B278*'Walgreens National Payments'!L$22</f>
        <v>3144.2593967068683</v>
      </c>
      <c r="O278" s="25">
        <f>$B278*'Walgreens National Payments'!M$22</f>
        <v>3144.2593967068683</v>
      </c>
      <c r="P278" s="25">
        <f>$B278*'Walgreens National Payments'!N$22</f>
        <v>3144.2593967068683</v>
      </c>
      <c r="Q278" s="25">
        <f>$B278*'Walgreens National Payments'!O$22</f>
        <v>3144.2593967068683</v>
      </c>
      <c r="R278" s="25">
        <f>$B278*'Walgreens National Payments'!P$22</f>
        <v>3144.2593967068683</v>
      </c>
      <c r="S278" s="25">
        <f>$B278*'Walgreens National Payments'!Q$22</f>
        <v>3144.2593967068683</v>
      </c>
      <c r="T278" s="26" t="s">
        <v>346</v>
      </c>
      <c r="U278" s="26">
        <f t="shared" si="13"/>
        <v>39969.001517837787</v>
      </c>
    </row>
    <row r="279" spans="1:24" x14ac:dyDescent="0.35">
      <c r="A279" s="3" t="s">
        <v>14</v>
      </c>
      <c r="B279" s="16">
        <v>1.526406853995849E-3</v>
      </c>
      <c r="C279" s="8" t="s">
        <v>298</v>
      </c>
      <c r="D279" s="33" t="str">
        <f t="shared" si="15"/>
        <v>No</v>
      </c>
      <c r="E279" s="25">
        <v>7463.58</v>
      </c>
      <c r="F279" s="25">
        <v>4142.2700000000004</v>
      </c>
      <c r="G279" s="25">
        <f>$B279*'Walgreens National Payments'!E$22</f>
        <v>5427.6599722033015</v>
      </c>
      <c r="H279" s="25">
        <f>$B279*'Walgreens National Payments'!F$22</f>
        <v>5427.6599722033015</v>
      </c>
      <c r="I279" s="25">
        <f>$B279*'Walgreens National Payments'!G$22</f>
        <v>5427.6599722033015</v>
      </c>
      <c r="J279" s="25">
        <f>$B279*'Walgreens National Payments'!H$22</f>
        <v>5427.6599722033015</v>
      </c>
      <c r="K279" s="25">
        <f>$B279*'Walgreens National Payments'!I$22</f>
        <v>5427.6599722033015</v>
      </c>
      <c r="L279" s="25">
        <f>$B279*'Walgreens National Payments'!J$22</f>
        <v>8222.8948531961178</v>
      </c>
      <c r="M279" s="25">
        <f>$B279*'Walgreens National Payments'!K$22</f>
        <v>8222.8948531961178</v>
      </c>
      <c r="N279" s="25">
        <f>$B279*'Walgreens National Payments'!L$22</f>
        <v>8222.8948531961178</v>
      </c>
      <c r="O279" s="25">
        <f>$B279*'Walgreens National Payments'!M$22</f>
        <v>8222.8948531961178</v>
      </c>
      <c r="P279" s="25">
        <f>$B279*'Walgreens National Payments'!N$22</f>
        <v>8222.8948531961178</v>
      </c>
      <c r="Q279" s="25">
        <f>$B279*'Walgreens National Payments'!O$22</f>
        <v>8222.8948531961178</v>
      </c>
      <c r="R279" s="25">
        <f>$B279*'Walgreens National Payments'!P$22</f>
        <v>8222.8948531961178</v>
      </c>
      <c r="S279" s="25">
        <f>$B279*'Walgreens National Payments'!Q$22</f>
        <v>8222.8948531961178</v>
      </c>
      <c r="T279" s="26" t="s">
        <v>346</v>
      </c>
      <c r="U279" s="26">
        <f t="shared" si="13"/>
        <v>104527.30868658547</v>
      </c>
    </row>
    <row r="280" spans="1:24" x14ac:dyDescent="0.35">
      <c r="A280" s="3" t="s">
        <v>28</v>
      </c>
      <c r="B280" s="16">
        <v>3.4585485351294921E-4</v>
      </c>
      <c r="C280" s="8" t="s">
        <v>299</v>
      </c>
      <c r="D280" s="33" t="str">
        <f t="shared" si="15"/>
        <v>No</v>
      </c>
      <c r="E280" s="25">
        <v>1691.11</v>
      </c>
      <c r="F280" s="25">
        <v>938.56</v>
      </c>
      <c r="G280" s="25">
        <f>$B280*'Walgreens National Payments'!E$22</f>
        <v>1229.8048450780711</v>
      </c>
      <c r="H280" s="25">
        <f>$B280*'Walgreens National Payments'!F$22</f>
        <v>1229.8048450780711</v>
      </c>
      <c r="I280" s="25">
        <f>$B280*'Walgreens National Payments'!G$22</f>
        <v>1229.8048450780711</v>
      </c>
      <c r="J280" s="25">
        <f>$B280*'Walgreens National Payments'!H$22</f>
        <v>1229.8048450780711</v>
      </c>
      <c r="K280" s="25">
        <f>$B280*'Walgreens National Payments'!I$22</f>
        <v>1229.8048450780711</v>
      </c>
      <c r="L280" s="25">
        <f>$B280*'Walgreens National Payments'!J$22</f>
        <v>1863.1520734197786</v>
      </c>
      <c r="M280" s="25">
        <f>$B280*'Walgreens National Payments'!K$22</f>
        <v>1863.1520734197786</v>
      </c>
      <c r="N280" s="25">
        <f>$B280*'Walgreens National Payments'!L$22</f>
        <v>1863.1520734197786</v>
      </c>
      <c r="O280" s="25">
        <f>$B280*'Walgreens National Payments'!M$22</f>
        <v>1863.1520734197786</v>
      </c>
      <c r="P280" s="25">
        <f>$B280*'Walgreens National Payments'!N$22</f>
        <v>1863.1520734197786</v>
      </c>
      <c r="Q280" s="25">
        <f>$B280*'Walgreens National Payments'!O$22</f>
        <v>1863.1520734197786</v>
      </c>
      <c r="R280" s="25">
        <f>$B280*'Walgreens National Payments'!P$22</f>
        <v>1863.1520734197786</v>
      </c>
      <c r="S280" s="25">
        <f>$B280*'Walgreens National Payments'!Q$22</f>
        <v>1863.1520734197786</v>
      </c>
      <c r="T280" s="26" t="s">
        <v>346</v>
      </c>
      <c r="U280" s="26">
        <f t="shared" si="13"/>
        <v>23683.910812748589</v>
      </c>
    </row>
    <row r="281" spans="1:24" x14ac:dyDescent="0.35">
      <c r="A281" s="3" t="s">
        <v>28</v>
      </c>
      <c r="B281" s="16">
        <v>5.3695276199727988E-4</v>
      </c>
      <c r="C281" s="8" t="s">
        <v>300</v>
      </c>
      <c r="D281" s="33" t="str">
        <f t="shared" si="15"/>
        <v>No</v>
      </c>
      <c r="E281" s="25">
        <v>2625.51</v>
      </c>
      <c r="F281" s="101">
        <v>1457.15</v>
      </c>
      <c r="G281" s="25">
        <f>$B281*'Walgreens National Payments'!E$22</f>
        <v>1909.3186103215492</v>
      </c>
      <c r="H281" s="25">
        <f>$B281*'Walgreens National Payments'!F$22</f>
        <v>1909.3186103215492</v>
      </c>
      <c r="I281" s="25">
        <f>$B281*'Walgreens National Payments'!G$22</f>
        <v>1909.3186103215492</v>
      </c>
      <c r="J281" s="25">
        <f>$B281*'Walgreens National Payments'!H$22</f>
        <v>1909.3186103215492</v>
      </c>
      <c r="K281" s="25">
        <f>$B281*'Walgreens National Payments'!I$22</f>
        <v>1909.3186103215492</v>
      </c>
      <c r="L281" s="25">
        <f>$B281*'Walgreens National Payments'!J$22</f>
        <v>2892.6141752301646</v>
      </c>
      <c r="M281" s="25">
        <f>$B281*'Walgreens National Payments'!K$22</f>
        <v>2892.6141752301646</v>
      </c>
      <c r="N281" s="25">
        <f>$B281*'Walgreens National Payments'!L$22</f>
        <v>2892.6141752301646</v>
      </c>
      <c r="O281" s="25">
        <f>$B281*'Walgreens National Payments'!M$22</f>
        <v>2892.6141752301646</v>
      </c>
      <c r="P281" s="25">
        <f>$B281*'Walgreens National Payments'!N$22</f>
        <v>2892.6141752301646</v>
      </c>
      <c r="Q281" s="25">
        <f>$B281*'Walgreens National Payments'!O$22</f>
        <v>2892.6141752301646</v>
      </c>
      <c r="R281" s="25">
        <f>$B281*'Walgreens National Payments'!P$22</f>
        <v>2892.6141752301646</v>
      </c>
      <c r="S281" s="25">
        <f>$B281*'Walgreens National Payments'!Q$22</f>
        <v>2892.6141752301646</v>
      </c>
      <c r="T281" s="26" t="s">
        <v>346</v>
      </c>
      <c r="U281" s="26">
        <f t="shared" si="13"/>
        <v>36770.166453449048</v>
      </c>
    </row>
    <row r="282" spans="1:24" x14ac:dyDescent="0.35">
      <c r="A282" s="3" t="s">
        <v>24</v>
      </c>
      <c r="B282" s="16">
        <v>3.6753988866981733E-5</v>
      </c>
      <c r="C282" s="8" t="s">
        <v>301</v>
      </c>
      <c r="D282" s="33" t="str">
        <f t="shared" si="15"/>
        <v>Yes</v>
      </c>
      <c r="E282" s="25">
        <v>2660.25</v>
      </c>
      <c r="F282" s="102">
        <v>0</v>
      </c>
      <c r="G282" s="48">
        <v>0</v>
      </c>
      <c r="H282" s="48">
        <v>0</v>
      </c>
      <c r="I282" s="48">
        <v>0</v>
      </c>
      <c r="J282" s="48">
        <v>0</v>
      </c>
      <c r="K282" s="48">
        <v>0</v>
      </c>
      <c r="L282" s="48">
        <v>0</v>
      </c>
      <c r="M282" s="48">
        <v>0</v>
      </c>
      <c r="N282" s="48">
        <v>0</v>
      </c>
      <c r="O282" s="48">
        <v>0</v>
      </c>
      <c r="P282" s="48">
        <v>0</v>
      </c>
      <c r="Q282" s="48">
        <v>0</v>
      </c>
      <c r="R282" s="48">
        <v>0</v>
      </c>
      <c r="S282" s="48">
        <v>0</v>
      </c>
      <c r="T282" s="26" t="s">
        <v>346</v>
      </c>
      <c r="U282" s="26">
        <f>SUM(E282)</f>
        <v>2660.25</v>
      </c>
    </row>
    <row r="283" spans="1:24" x14ac:dyDescent="0.35">
      <c r="A283" s="8" t="s">
        <v>270</v>
      </c>
      <c r="B283" s="20"/>
      <c r="C283" s="8" t="s">
        <v>270</v>
      </c>
      <c r="D283" s="8"/>
      <c r="E283" s="26">
        <f>'Walgreens National Payments'!C15</f>
        <v>6651094.1399999829</v>
      </c>
      <c r="F283" s="7">
        <f>'Walgreens National Payments'!D15</f>
        <v>4465879.2977772038</v>
      </c>
      <c r="G283" s="26">
        <f>'Walgreens National Payments'!E$15</f>
        <v>4465652.9224340841</v>
      </c>
      <c r="H283" s="26">
        <f>'Walgreens National Payments'!F$15</f>
        <v>4465652.9224340841</v>
      </c>
      <c r="I283" s="26">
        <f>'Walgreens National Payments'!G$15</f>
        <v>4465652.9224340841</v>
      </c>
      <c r="J283" s="26">
        <f>'Walgreens National Payments'!H$15</f>
        <v>4465652.9224340841</v>
      </c>
      <c r="K283" s="26">
        <f>'Walgreens National Payments'!I$15</f>
        <v>4467775.235620277</v>
      </c>
      <c r="L283" s="26">
        <f>'Walgreens National Payments'!J$15</f>
        <v>6765455.9460431887</v>
      </c>
      <c r="M283" s="26">
        <f>'Walgreens National Payments'!K$15</f>
        <v>6765455.9460431887</v>
      </c>
      <c r="N283" s="26">
        <f>'Walgreens National Payments'!L$15</f>
        <v>6765455.9460431887</v>
      </c>
      <c r="O283" s="26">
        <f>'Walgreens National Payments'!M$15</f>
        <v>6765455.9460431887</v>
      </c>
      <c r="P283" s="26">
        <f>'Walgreens National Payments'!N$15</f>
        <v>6765455.9460431887</v>
      </c>
      <c r="Q283" s="26">
        <f>'Walgreens National Payments'!O$15</f>
        <v>6765455.9460431887</v>
      </c>
      <c r="R283" s="26">
        <f>'Walgreens National Payments'!P$15</f>
        <v>6765455.9460431887</v>
      </c>
      <c r="S283" s="26">
        <f>'Walgreens National Payments'!Q$15</f>
        <v>6765455.9460431887</v>
      </c>
      <c r="T283" s="26"/>
      <c r="U283" s="26">
        <f>SUM(E283:S283)</f>
        <v>87571007.93147932</v>
      </c>
      <c r="V283" s="4"/>
      <c r="W283" s="4"/>
      <c r="X283" s="4"/>
    </row>
    <row r="284" spans="1:24" x14ac:dyDescent="0.35">
      <c r="H284"/>
      <c r="I284"/>
      <c r="J284"/>
      <c r="K284"/>
      <c r="L284"/>
      <c r="M284"/>
      <c r="N284"/>
      <c r="O284"/>
      <c r="P284"/>
      <c r="Q284"/>
    </row>
    <row r="285" spans="1:24" x14ac:dyDescent="0.35">
      <c r="B285" s="3" t="s">
        <v>340</v>
      </c>
    </row>
  </sheetData>
  <sheetProtection algorithmName="SHA-512" hashValue="OlPPeUQXcstxhj93ObE6MXI5x3WxcyLi6lUs9QATNqw2dRuJj1T3B8+tGF+Ipx1xg15XN1CIFDuwHcGoA8cZUQ==" saltValue="0mXsC0Qqc7TVjOJ4u/ElTA==" spinCount="100000" sheet="1" sort="0" autoFilter="0" pivotTables="0"/>
  <autoFilter ref="A3:U283" xr:uid="{A817AFE2-400E-4528-B798-D605BB194E27}"/>
  <mergeCells count="1">
    <mergeCell ref="A1:C1"/>
  </mergeCells>
  <phoneticPr fontId="1"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AA86-B865-46DB-8F03-600CD83F5D6A}">
  <sheetPr codeName="Sheet8"/>
  <dimension ref="A1:H285"/>
  <sheetViews>
    <sheetView zoomScaleNormal="100" workbookViewId="0">
      <pane ySplit="3" topLeftCell="A4" activePane="bottomLeft" state="frozen"/>
      <selection activeCell="A12" sqref="A12:L22"/>
      <selection pane="bottomLeft" activeCell="E284" sqref="E284"/>
    </sheetView>
  </sheetViews>
  <sheetFormatPr defaultRowHeight="18" x14ac:dyDescent="0.35"/>
  <cols>
    <col min="1" max="1" width="23.44140625" customWidth="1"/>
    <col min="2" max="2" width="31" customWidth="1"/>
    <col min="3" max="3" width="42.44140625" customWidth="1"/>
    <col min="4" max="4" width="26.88671875" customWidth="1"/>
    <col min="5" max="6" width="18.6640625" style="4" customWidth="1"/>
    <col min="7" max="7" width="22.109375" customWidth="1"/>
    <col min="8" max="8" width="22.109375" style="3" customWidth="1"/>
  </cols>
  <sheetData>
    <row r="1" spans="1:8" s="3" customFormat="1" ht="25.8" x14ac:dyDescent="0.5">
      <c r="A1" s="111" t="s">
        <v>478</v>
      </c>
      <c r="B1" s="112"/>
      <c r="C1" s="112"/>
      <c r="D1" s="46"/>
      <c r="E1" s="5">
        <v>2024</v>
      </c>
      <c r="F1" s="5">
        <v>2024</v>
      </c>
    </row>
    <row r="2" spans="1:8" s="11" customFormat="1" ht="17.399999999999999" x14ac:dyDescent="0.3">
      <c r="E2" s="15" t="s">
        <v>308</v>
      </c>
      <c r="F2" s="15" t="s">
        <v>308</v>
      </c>
      <c r="G2" s="11" t="s">
        <v>309</v>
      </c>
    </row>
    <row r="3" spans="1:8" ht="52.2" x14ac:dyDescent="0.3">
      <c r="A3" s="11" t="s">
        <v>3</v>
      </c>
      <c r="B3" s="11" t="s">
        <v>310</v>
      </c>
      <c r="C3" s="11" t="s">
        <v>4</v>
      </c>
      <c r="D3" s="32" t="s">
        <v>317</v>
      </c>
      <c r="E3" s="18" t="s">
        <v>441</v>
      </c>
      <c r="F3" s="18" t="s">
        <v>442</v>
      </c>
      <c r="G3" s="17" t="s">
        <v>345</v>
      </c>
      <c r="H3" s="15" t="s">
        <v>13</v>
      </c>
    </row>
    <row r="4" spans="1:8" x14ac:dyDescent="0.35">
      <c r="A4" s="3" t="s">
        <v>14</v>
      </c>
      <c r="B4" s="16">
        <v>4.3760292217293543E-5</v>
      </c>
      <c r="C4" s="8" t="s">
        <v>15</v>
      </c>
      <c r="D4" s="8" t="s">
        <v>337</v>
      </c>
      <c r="E4" s="26">
        <v>0</v>
      </c>
      <c r="F4" s="29">
        <v>0</v>
      </c>
      <c r="G4" s="39" t="s">
        <v>346</v>
      </c>
      <c r="H4" s="7">
        <f>SUM(E4:G4)</f>
        <v>0</v>
      </c>
    </row>
    <row r="5" spans="1:8" x14ac:dyDescent="0.35">
      <c r="A5" s="3" t="s">
        <v>16</v>
      </c>
      <c r="B5" s="16">
        <v>3.3962665995944998E-4</v>
      </c>
      <c r="C5" s="8" t="s">
        <v>17</v>
      </c>
      <c r="D5" s="33" t="str">
        <f>IF(B5&lt;0.000083,"Yes","No")</f>
        <v>No</v>
      </c>
      <c r="E5" s="26">
        <v>4855.0200000000004</v>
      </c>
      <c r="F5" s="29">
        <v>8376.5</v>
      </c>
      <c r="G5" s="39" t="s">
        <v>346</v>
      </c>
      <c r="H5" s="7">
        <f t="shared" ref="H5:H68" si="0">SUM(E5:G5)</f>
        <v>13231.52</v>
      </c>
    </row>
    <row r="6" spans="1:8" x14ac:dyDescent="0.35">
      <c r="A6" s="3" t="s">
        <v>18</v>
      </c>
      <c r="B6" s="16">
        <v>9.346301204800001E-4</v>
      </c>
      <c r="C6" s="8" t="s">
        <v>18</v>
      </c>
      <c r="D6" s="33" t="str">
        <f t="shared" ref="D6:D7" si="1">IF(B6&lt;0.000083,"Yes","No")</f>
        <v>No</v>
      </c>
      <c r="E6" s="26">
        <v>13360.7</v>
      </c>
      <c r="F6" s="29">
        <v>23051.57</v>
      </c>
      <c r="G6" s="39" t="s">
        <v>346</v>
      </c>
      <c r="H6" s="7">
        <f t="shared" si="0"/>
        <v>36412.270000000004</v>
      </c>
    </row>
    <row r="7" spans="1:8" x14ac:dyDescent="0.35">
      <c r="A7" s="3" t="s">
        <v>19</v>
      </c>
      <c r="B7" s="16">
        <v>8.795261608000001E-4</v>
      </c>
      <c r="C7" s="8" t="s">
        <v>19</v>
      </c>
      <c r="D7" s="33" t="str">
        <f t="shared" si="1"/>
        <v>No</v>
      </c>
      <c r="E7" s="26">
        <v>12572.98</v>
      </c>
      <c r="F7" s="29">
        <v>21692.5</v>
      </c>
      <c r="G7" s="39" t="s">
        <v>346</v>
      </c>
      <c r="H7" s="7">
        <f t="shared" si="0"/>
        <v>34265.479999999996</v>
      </c>
    </row>
    <row r="8" spans="1:8" x14ac:dyDescent="0.35">
      <c r="A8" s="3" t="s">
        <v>14</v>
      </c>
      <c r="B8" s="16">
        <v>1.7535336933774335E-5</v>
      </c>
      <c r="C8" s="8" t="s">
        <v>20</v>
      </c>
      <c r="D8" s="8" t="s">
        <v>337</v>
      </c>
      <c r="E8" s="26">
        <v>0</v>
      </c>
      <c r="F8" s="29">
        <v>0</v>
      </c>
      <c r="G8" s="39" t="s">
        <v>346</v>
      </c>
      <c r="H8" s="7">
        <f t="shared" si="0"/>
        <v>0</v>
      </c>
    </row>
    <row r="9" spans="1:8" x14ac:dyDescent="0.35">
      <c r="A9" s="3" t="s">
        <v>21</v>
      </c>
      <c r="B9" s="16">
        <v>4.6165611941257866E-3</v>
      </c>
      <c r="C9" s="8" t="s">
        <v>21</v>
      </c>
      <c r="D9" s="33" t="str">
        <f t="shared" ref="D9:D10" si="2">IF(B9&lt;0.000083,"Yes","No")</f>
        <v>No</v>
      </c>
      <c r="E9" s="26">
        <v>65994.570000000007</v>
      </c>
      <c r="F9" s="29">
        <v>113862.16</v>
      </c>
      <c r="G9" s="39" t="s">
        <v>346</v>
      </c>
      <c r="H9" s="7">
        <f t="shared" si="0"/>
        <v>179856.73</v>
      </c>
    </row>
    <row r="10" spans="1:8" x14ac:dyDescent="0.35">
      <c r="A10" s="3" t="s">
        <v>22</v>
      </c>
      <c r="B10" s="16">
        <v>6.4220260878837781E-4</v>
      </c>
      <c r="C10" s="8" t="s">
        <v>23</v>
      </c>
      <c r="D10" s="33" t="str">
        <f t="shared" si="2"/>
        <v>No</v>
      </c>
      <c r="E10" s="26">
        <v>9180.4</v>
      </c>
      <c r="F10" s="29">
        <v>15839.19</v>
      </c>
      <c r="G10" s="39" t="s">
        <v>346</v>
      </c>
      <c r="H10" s="7">
        <f t="shared" si="0"/>
        <v>25019.59</v>
      </c>
    </row>
    <row r="11" spans="1:8" x14ac:dyDescent="0.35">
      <c r="A11" s="3" t="s">
        <v>24</v>
      </c>
      <c r="B11" s="16">
        <v>4.6474904547300034E-5</v>
      </c>
      <c r="C11" s="8" t="s">
        <v>25</v>
      </c>
      <c r="D11" s="8" t="s">
        <v>337</v>
      </c>
      <c r="E11" s="26">
        <v>0</v>
      </c>
      <c r="F11" s="29">
        <v>0</v>
      </c>
      <c r="G11" s="39" t="s">
        <v>346</v>
      </c>
      <c r="H11" s="7">
        <f t="shared" si="0"/>
        <v>0</v>
      </c>
    </row>
    <row r="12" spans="1:8" x14ac:dyDescent="0.35">
      <c r="A12" s="3" t="s">
        <v>26</v>
      </c>
      <c r="B12" s="16">
        <v>3.5525680747200005E-3</v>
      </c>
      <c r="C12" s="8" t="s">
        <v>26</v>
      </c>
      <c r="D12" s="33" t="str">
        <f t="shared" ref="D12:D15" si="3">IF(B12&lt;0.000083,"Yes","No")</f>
        <v>No</v>
      </c>
      <c r="E12" s="26">
        <v>50784.59</v>
      </c>
      <c r="F12" s="29">
        <v>87620</v>
      </c>
      <c r="G12" s="39" t="s">
        <v>346</v>
      </c>
      <c r="H12" s="7">
        <f t="shared" si="0"/>
        <v>138404.59</v>
      </c>
    </row>
    <row r="13" spans="1:8" x14ac:dyDescent="0.35">
      <c r="A13" s="3" t="s">
        <v>14</v>
      </c>
      <c r="B13" s="16">
        <v>1.5193823261242404E-5</v>
      </c>
      <c r="C13" s="8" t="s">
        <v>27</v>
      </c>
      <c r="D13" s="33" t="str">
        <f t="shared" si="3"/>
        <v>Yes</v>
      </c>
      <c r="E13" s="26">
        <v>217.2</v>
      </c>
      <c r="F13" s="29">
        <v>374.74</v>
      </c>
      <c r="G13" s="39" t="s">
        <v>346</v>
      </c>
      <c r="H13" s="7">
        <f t="shared" si="0"/>
        <v>591.94000000000005</v>
      </c>
    </row>
    <row r="14" spans="1:8" x14ac:dyDescent="0.35">
      <c r="A14" s="3" t="s">
        <v>28</v>
      </c>
      <c r="B14" s="16">
        <v>2.7679777928632894E-3</v>
      </c>
      <c r="C14" s="8" t="s">
        <v>29</v>
      </c>
      <c r="D14" s="33" t="str">
        <f t="shared" si="3"/>
        <v>No</v>
      </c>
      <c r="E14" s="26">
        <v>39568.74</v>
      </c>
      <c r="F14" s="29">
        <v>68268.98</v>
      </c>
      <c r="G14" s="39" t="s">
        <v>346</v>
      </c>
      <c r="H14" s="7">
        <f t="shared" si="0"/>
        <v>107837.72</v>
      </c>
    </row>
    <row r="15" spans="1:8" x14ac:dyDescent="0.35">
      <c r="A15" s="3" t="s">
        <v>30</v>
      </c>
      <c r="B15" s="16">
        <v>2.6667265464000002E-3</v>
      </c>
      <c r="C15" s="8" t="s">
        <v>30</v>
      </c>
      <c r="D15" s="33" t="str">
        <f t="shared" si="3"/>
        <v>No</v>
      </c>
      <c r="E15" s="26">
        <v>38121.33</v>
      </c>
      <c r="F15" s="29">
        <v>65771.740000000005</v>
      </c>
      <c r="G15" s="39" t="s">
        <v>346</v>
      </c>
      <c r="H15" s="7">
        <f t="shared" si="0"/>
        <v>103893.07</v>
      </c>
    </row>
    <row r="16" spans="1:8" x14ac:dyDescent="0.35">
      <c r="A16" s="3" t="s">
        <v>31</v>
      </c>
      <c r="B16" s="16">
        <v>7.8474941674770205E-6</v>
      </c>
      <c r="C16" s="8" t="s">
        <v>32</v>
      </c>
      <c r="D16" s="8" t="s">
        <v>337</v>
      </c>
      <c r="E16" s="26">
        <v>0</v>
      </c>
      <c r="F16" s="29">
        <v>0</v>
      </c>
      <c r="G16" s="39" t="s">
        <v>346</v>
      </c>
      <c r="H16" s="7">
        <f t="shared" si="0"/>
        <v>0</v>
      </c>
    </row>
    <row r="17" spans="1:8" x14ac:dyDescent="0.35">
      <c r="A17" s="3" t="s">
        <v>33</v>
      </c>
      <c r="B17" s="16">
        <v>1.8055048905600002E-3</v>
      </c>
      <c r="C17" s="8" t="s">
        <v>33</v>
      </c>
      <c r="D17" s="33" t="str">
        <f t="shared" ref="D17:D33" si="4">IF(B17&lt;0.000083,"Yes","No")</f>
        <v>No</v>
      </c>
      <c r="E17" s="26">
        <v>25810.01</v>
      </c>
      <c r="F17" s="29">
        <v>44530.7</v>
      </c>
      <c r="G17" s="39" t="s">
        <v>346</v>
      </c>
      <c r="H17" s="7">
        <f t="shared" si="0"/>
        <v>70340.709999999992</v>
      </c>
    </row>
    <row r="18" spans="1:8" x14ac:dyDescent="0.35">
      <c r="A18" s="3" t="s">
        <v>34</v>
      </c>
      <c r="B18" s="16">
        <v>7.0325055618421011E-4</v>
      </c>
      <c r="C18" s="8" t="s">
        <v>35</v>
      </c>
      <c r="D18" s="33" t="str">
        <f t="shared" si="4"/>
        <v>No</v>
      </c>
      <c r="E18" s="26">
        <v>10053.09</v>
      </c>
      <c r="F18" s="29">
        <v>17344.86</v>
      </c>
      <c r="G18" s="39" t="s">
        <v>346</v>
      </c>
      <c r="H18" s="7">
        <f t="shared" si="0"/>
        <v>27397.95</v>
      </c>
    </row>
    <row r="19" spans="1:8" x14ac:dyDescent="0.35">
      <c r="A19" s="3" t="s">
        <v>36</v>
      </c>
      <c r="B19" s="16">
        <v>6.5282391823994206E-5</v>
      </c>
      <c r="C19" s="8" t="s">
        <v>37</v>
      </c>
      <c r="D19" s="33" t="str">
        <f t="shared" si="4"/>
        <v>Yes</v>
      </c>
      <c r="E19" s="26">
        <v>0</v>
      </c>
      <c r="F19" s="29">
        <v>0</v>
      </c>
      <c r="G19" s="39" t="s">
        <v>346</v>
      </c>
      <c r="H19" s="7">
        <f t="shared" si="0"/>
        <v>0</v>
      </c>
    </row>
    <row r="20" spans="1:8" x14ac:dyDescent="0.35">
      <c r="A20" s="3" t="s">
        <v>38</v>
      </c>
      <c r="B20" s="16">
        <v>8.3004606496000003E-4</v>
      </c>
      <c r="C20" s="8" t="s">
        <v>38</v>
      </c>
      <c r="D20" s="33" t="str">
        <f t="shared" si="4"/>
        <v>No</v>
      </c>
      <c r="E20" s="26">
        <v>11865.66</v>
      </c>
      <c r="F20" s="29">
        <v>20472.13</v>
      </c>
      <c r="G20" s="39" t="s">
        <v>346</v>
      </c>
      <c r="H20" s="7">
        <f t="shared" si="0"/>
        <v>32337.79</v>
      </c>
    </row>
    <row r="21" spans="1:8" x14ac:dyDescent="0.35">
      <c r="A21" s="3" t="s">
        <v>39</v>
      </c>
      <c r="B21" s="16">
        <v>2.5871914761609301E-3</v>
      </c>
      <c r="C21" s="8" t="s">
        <v>39</v>
      </c>
      <c r="D21" s="33" t="str">
        <f t="shared" si="4"/>
        <v>No</v>
      </c>
      <c r="E21" s="26">
        <v>36984.36</v>
      </c>
      <c r="F21" s="29">
        <v>63810.1</v>
      </c>
      <c r="G21" s="39" t="s">
        <v>346</v>
      </c>
      <c r="H21" s="7">
        <f t="shared" si="0"/>
        <v>100794.45999999999</v>
      </c>
    </row>
    <row r="22" spans="1:8" x14ac:dyDescent="0.35">
      <c r="A22" s="3" t="s">
        <v>40</v>
      </c>
      <c r="B22" s="16">
        <v>3.2146033236360054E-4</v>
      </c>
      <c r="C22" s="8" t="s">
        <v>41</v>
      </c>
      <c r="D22" s="33" t="str">
        <f t="shared" si="4"/>
        <v>No</v>
      </c>
      <c r="E22" s="26">
        <v>4595.33</v>
      </c>
      <c r="F22" s="29">
        <v>7928.45</v>
      </c>
      <c r="G22" s="39" t="s">
        <v>346</v>
      </c>
      <c r="H22" s="7">
        <f t="shared" si="0"/>
        <v>12523.779999999999</v>
      </c>
    </row>
    <row r="23" spans="1:8" x14ac:dyDescent="0.35">
      <c r="A23" s="3" t="s">
        <v>42</v>
      </c>
      <c r="B23" s="16">
        <v>2.0458170565343893E-3</v>
      </c>
      <c r="C23" s="8" t="s">
        <v>43</v>
      </c>
      <c r="D23" s="33" t="str">
        <f t="shared" si="4"/>
        <v>No</v>
      </c>
      <c r="E23" s="26">
        <v>29245.32</v>
      </c>
      <c r="F23" s="29">
        <v>50457.72</v>
      </c>
      <c r="G23" s="39" t="s">
        <v>346</v>
      </c>
      <c r="H23" s="7">
        <f t="shared" si="0"/>
        <v>79703.040000000008</v>
      </c>
    </row>
    <row r="24" spans="1:8" x14ac:dyDescent="0.35">
      <c r="A24" s="3" t="s">
        <v>36</v>
      </c>
      <c r="B24" s="16">
        <v>6.8586365358145425E-4</v>
      </c>
      <c r="C24" s="8" t="s">
        <v>44</v>
      </c>
      <c r="D24" s="33" t="str">
        <f t="shared" si="4"/>
        <v>No</v>
      </c>
      <c r="E24" s="26">
        <v>9804.5400000000009</v>
      </c>
      <c r="F24" s="29">
        <v>16916.04</v>
      </c>
      <c r="G24" s="39" t="s">
        <v>346</v>
      </c>
      <c r="H24" s="7">
        <f t="shared" si="0"/>
        <v>26720.58</v>
      </c>
    </row>
    <row r="25" spans="1:8" x14ac:dyDescent="0.35">
      <c r="A25" s="3" t="s">
        <v>36</v>
      </c>
      <c r="B25" s="16">
        <v>1.2330105690560002E-2</v>
      </c>
      <c r="C25" s="8" t="s">
        <v>36</v>
      </c>
      <c r="D25" s="33" t="str">
        <f t="shared" si="4"/>
        <v>No</v>
      </c>
      <c r="E25" s="26">
        <v>177571.62</v>
      </c>
      <c r="F25" s="29">
        <v>306368.99000000005</v>
      </c>
      <c r="G25" s="39" t="s">
        <v>346</v>
      </c>
      <c r="H25" s="7">
        <f t="shared" si="0"/>
        <v>483940.61000000004</v>
      </c>
    </row>
    <row r="26" spans="1:8" x14ac:dyDescent="0.35">
      <c r="A26" s="3" t="s">
        <v>45</v>
      </c>
      <c r="B26" s="16">
        <v>2.465424421072565E-4</v>
      </c>
      <c r="C26" s="8" t="s">
        <v>46</v>
      </c>
      <c r="D26" s="33" t="str">
        <f t="shared" si="4"/>
        <v>No</v>
      </c>
      <c r="E26" s="26">
        <v>3524.37</v>
      </c>
      <c r="F26" s="29">
        <v>6080.69</v>
      </c>
      <c r="G26" s="39" t="s">
        <v>346</v>
      </c>
      <c r="H26" s="7">
        <f t="shared" si="0"/>
        <v>9605.06</v>
      </c>
    </row>
    <row r="27" spans="1:8" x14ac:dyDescent="0.35">
      <c r="A27" s="3" t="s">
        <v>47</v>
      </c>
      <c r="B27" s="16">
        <v>5.4211718464369893E-4</v>
      </c>
      <c r="C27" s="8" t="s">
        <v>48</v>
      </c>
      <c r="D27" s="33" t="str">
        <f t="shared" si="4"/>
        <v>No</v>
      </c>
      <c r="E27" s="26">
        <v>7749.66</v>
      </c>
      <c r="F27" s="29">
        <v>13370.7</v>
      </c>
      <c r="G27" s="39" t="s">
        <v>346</v>
      </c>
      <c r="H27" s="7">
        <f t="shared" si="0"/>
        <v>21120.36</v>
      </c>
    </row>
    <row r="28" spans="1:8" x14ac:dyDescent="0.35">
      <c r="A28" s="3" t="s">
        <v>49</v>
      </c>
      <c r="B28" s="16">
        <v>1.5597090017600002E-3</v>
      </c>
      <c r="C28" s="8" t="s">
        <v>49</v>
      </c>
      <c r="D28" s="33" t="str">
        <f t="shared" si="4"/>
        <v>No</v>
      </c>
      <c r="E28" s="26">
        <v>22296.32</v>
      </c>
      <c r="F28" s="29">
        <v>38468.42</v>
      </c>
      <c r="G28" s="39" t="s">
        <v>346</v>
      </c>
      <c r="H28" s="7">
        <f t="shared" si="0"/>
        <v>60764.74</v>
      </c>
    </row>
    <row r="29" spans="1:8" x14ac:dyDescent="0.35">
      <c r="A29" s="3" t="s">
        <v>34</v>
      </c>
      <c r="B29" s="16">
        <v>2.1448338308180427E-4</v>
      </c>
      <c r="C29" s="8" t="s">
        <v>50</v>
      </c>
      <c r="D29" s="33" t="str">
        <f t="shared" si="4"/>
        <v>No</v>
      </c>
      <c r="E29" s="26">
        <v>3066.08</v>
      </c>
      <c r="F29" s="29">
        <v>5289.99</v>
      </c>
      <c r="G29" s="39" t="s">
        <v>346</v>
      </c>
      <c r="H29" s="7">
        <f t="shared" si="0"/>
        <v>8356.07</v>
      </c>
    </row>
    <row r="30" spans="1:8" x14ac:dyDescent="0.35">
      <c r="A30" s="3" t="s">
        <v>47</v>
      </c>
      <c r="B30" s="16">
        <v>1.4353012866080001E-2</v>
      </c>
      <c r="C30" s="8" t="s">
        <v>47</v>
      </c>
      <c r="D30" s="33" t="str">
        <f t="shared" si="4"/>
        <v>No</v>
      </c>
      <c r="E30" s="26">
        <v>207018.39</v>
      </c>
      <c r="F30" s="29">
        <v>357174.27</v>
      </c>
      <c r="G30" s="39" t="s">
        <v>346</v>
      </c>
      <c r="H30" s="7">
        <f t="shared" si="0"/>
        <v>564192.66</v>
      </c>
    </row>
    <row r="31" spans="1:8" x14ac:dyDescent="0.35">
      <c r="A31" s="3" t="s">
        <v>34</v>
      </c>
      <c r="B31" s="16">
        <v>2.7489343219674764E-4</v>
      </c>
      <c r="C31" s="8" t="s">
        <v>51</v>
      </c>
      <c r="D31" s="33" t="str">
        <f t="shared" si="4"/>
        <v>No</v>
      </c>
      <c r="E31" s="26">
        <v>3929.65</v>
      </c>
      <c r="F31" s="29">
        <v>6779.93</v>
      </c>
      <c r="G31" s="39" t="s">
        <v>346</v>
      </c>
      <c r="H31" s="7">
        <f t="shared" si="0"/>
        <v>10709.58</v>
      </c>
    </row>
    <row r="32" spans="1:8" x14ac:dyDescent="0.35">
      <c r="A32" s="3" t="s">
        <v>52</v>
      </c>
      <c r="B32" s="16">
        <v>1.4644445099620517E-4</v>
      </c>
      <c r="C32" s="8" t="s">
        <v>53</v>
      </c>
      <c r="D32" s="33" t="str">
        <f t="shared" si="4"/>
        <v>No</v>
      </c>
      <c r="E32" s="26">
        <v>2093.4499999999998</v>
      </c>
      <c r="F32" s="29">
        <v>3611.88</v>
      </c>
      <c r="G32" s="39" t="s">
        <v>346</v>
      </c>
      <c r="H32" s="7">
        <f t="shared" si="0"/>
        <v>5705.33</v>
      </c>
    </row>
    <row r="33" spans="1:8" x14ac:dyDescent="0.35">
      <c r="A33" s="3" t="s">
        <v>34</v>
      </c>
      <c r="B33" s="16">
        <v>6.1607165089975981E-4</v>
      </c>
      <c r="C33" s="8" t="s">
        <v>54</v>
      </c>
      <c r="D33" s="33" t="str">
        <f t="shared" si="4"/>
        <v>No</v>
      </c>
      <c r="E33" s="26">
        <v>8806.85</v>
      </c>
      <c r="F33" s="29">
        <v>15194.7</v>
      </c>
      <c r="G33" s="39" t="s">
        <v>346</v>
      </c>
      <c r="H33" s="7">
        <f t="shared" si="0"/>
        <v>24001.550000000003</v>
      </c>
    </row>
    <row r="34" spans="1:8" x14ac:dyDescent="0.35">
      <c r="A34" s="3" t="s">
        <v>55</v>
      </c>
      <c r="B34" s="16">
        <v>0</v>
      </c>
      <c r="C34" s="8" t="s">
        <v>56</v>
      </c>
      <c r="D34" s="8" t="s">
        <v>338</v>
      </c>
      <c r="E34" s="26">
        <v>0</v>
      </c>
      <c r="F34" s="29">
        <v>0</v>
      </c>
      <c r="G34" s="39" t="s">
        <v>346</v>
      </c>
      <c r="H34" s="7">
        <f t="shared" si="0"/>
        <v>0</v>
      </c>
    </row>
    <row r="35" spans="1:8" x14ac:dyDescent="0.35">
      <c r="A35" s="3" t="s">
        <v>34</v>
      </c>
      <c r="B35" s="16">
        <v>1.4314410402168545E-3</v>
      </c>
      <c r="C35" s="8" t="s">
        <v>57</v>
      </c>
      <c r="D35" s="33" t="str">
        <f t="shared" ref="D35:D40" si="5">IF(B35&lt;0.000083,"Yes","No")</f>
        <v>No</v>
      </c>
      <c r="E35" s="26">
        <v>20462.71</v>
      </c>
      <c r="F35" s="29">
        <v>35304.839999999997</v>
      </c>
      <c r="G35" s="39" t="s">
        <v>346</v>
      </c>
      <c r="H35" s="7">
        <f t="shared" si="0"/>
        <v>55767.549999999996</v>
      </c>
    </row>
    <row r="36" spans="1:8" x14ac:dyDescent="0.35">
      <c r="A36" s="3" t="s">
        <v>58</v>
      </c>
      <c r="B36" s="16">
        <v>3.8230209662400007E-3</v>
      </c>
      <c r="C36" s="8" t="s">
        <v>58</v>
      </c>
      <c r="D36" s="33" t="str">
        <f t="shared" si="5"/>
        <v>No</v>
      </c>
      <c r="E36" s="26">
        <v>54650.77</v>
      </c>
      <c r="F36" s="29">
        <v>94290.41</v>
      </c>
      <c r="G36" s="39" t="s">
        <v>346</v>
      </c>
      <c r="H36" s="7">
        <f t="shared" si="0"/>
        <v>148941.18</v>
      </c>
    </row>
    <row r="37" spans="1:8" x14ac:dyDescent="0.35">
      <c r="A37" s="3" t="s">
        <v>34</v>
      </c>
      <c r="B37" s="16">
        <v>1.7834819854661442E-4</v>
      </c>
      <c r="C37" s="8" t="s">
        <v>59</v>
      </c>
      <c r="D37" s="33" t="str">
        <f t="shared" si="5"/>
        <v>No</v>
      </c>
      <c r="E37" s="26">
        <v>2549.52</v>
      </c>
      <c r="F37" s="29">
        <v>4398.75</v>
      </c>
      <c r="G37" s="39" t="s">
        <v>346</v>
      </c>
      <c r="H37" s="7">
        <f t="shared" si="0"/>
        <v>6948.27</v>
      </c>
    </row>
    <row r="38" spans="1:8" x14ac:dyDescent="0.35">
      <c r="A38" s="3" t="s">
        <v>60</v>
      </c>
      <c r="B38" s="16">
        <v>6.0493406028165334E-6</v>
      </c>
      <c r="C38" s="8" t="s">
        <v>61</v>
      </c>
      <c r="D38" s="33" t="str">
        <f t="shared" si="5"/>
        <v>Yes</v>
      </c>
      <c r="E38" s="26">
        <v>86.48</v>
      </c>
      <c r="F38" s="29">
        <v>149.19999999999999</v>
      </c>
      <c r="G38" s="39" t="s">
        <v>346</v>
      </c>
      <c r="H38" s="7">
        <f t="shared" si="0"/>
        <v>235.68</v>
      </c>
    </row>
    <row r="39" spans="1:8" x14ac:dyDescent="0.35">
      <c r="A39" s="3" t="s">
        <v>22</v>
      </c>
      <c r="B39" s="16">
        <v>6.1860133563783337E-4</v>
      </c>
      <c r="C39" s="8" t="s">
        <v>62</v>
      </c>
      <c r="D39" s="33" t="str">
        <f t="shared" si="5"/>
        <v>No</v>
      </c>
      <c r="E39" s="26">
        <v>8843.02</v>
      </c>
      <c r="F39" s="29">
        <v>15257.09</v>
      </c>
      <c r="G39" s="39" t="s">
        <v>346</v>
      </c>
      <c r="H39" s="7">
        <f t="shared" si="0"/>
        <v>24100.11</v>
      </c>
    </row>
    <row r="40" spans="1:8" x14ac:dyDescent="0.35">
      <c r="A40" s="3" t="s">
        <v>63</v>
      </c>
      <c r="B40" s="16">
        <v>1.9828741491205145E-4</v>
      </c>
      <c r="C40" s="8" t="s">
        <v>64</v>
      </c>
      <c r="D40" s="33" t="str">
        <f t="shared" si="5"/>
        <v>No</v>
      </c>
      <c r="E40" s="26">
        <v>2834.55</v>
      </c>
      <c r="F40" s="29">
        <v>4890.53</v>
      </c>
      <c r="G40" s="39" t="s">
        <v>346</v>
      </c>
      <c r="H40" s="7">
        <f t="shared" si="0"/>
        <v>7725.08</v>
      </c>
    </row>
    <row r="41" spans="1:8" x14ac:dyDescent="0.35">
      <c r="A41" s="3" t="s">
        <v>14</v>
      </c>
      <c r="B41" s="16">
        <v>8.5803473491828175E-5</v>
      </c>
      <c r="C41" s="8" t="s">
        <v>65</v>
      </c>
      <c r="D41" s="8" t="s">
        <v>337</v>
      </c>
      <c r="E41" s="26">
        <v>0</v>
      </c>
      <c r="F41" s="29">
        <v>0</v>
      </c>
      <c r="G41" s="39" t="s">
        <v>346</v>
      </c>
      <c r="H41" s="7">
        <f t="shared" si="0"/>
        <v>0</v>
      </c>
    </row>
    <row r="42" spans="1:8" x14ac:dyDescent="0.35">
      <c r="A42" s="3" t="s">
        <v>66</v>
      </c>
      <c r="B42" s="16">
        <v>5.9285718408623813E-4</v>
      </c>
      <c r="C42" s="8" t="s">
        <v>67</v>
      </c>
      <c r="D42" s="33" t="str">
        <f t="shared" ref="D42:D57" si="6">IF(B42&lt;0.000083,"Yes","No")</f>
        <v>No</v>
      </c>
      <c r="E42" s="26">
        <v>8475</v>
      </c>
      <c r="F42" s="29">
        <v>14622.14</v>
      </c>
      <c r="G42" s="39" t="s">
        <v>346</v>
      </c>
      <c r="H42" s="7">
        <f t="shared" si="0"/>
        <v>23097.14</v>
      </c>
    </row>
    <row r="43" spans="1:8" x14ac:dyDescent="0.35">
      <c r="A43" s="3" t="s">
        <v>14</v>
      </c>
      <c r="B43" s="16">
        <v>2.7577829756919563E-5</v>
      </c>
      <c r="C43" s="8" t="s">
        <v>68</v>
      </c>
      <c r="D43" s="33" t="str">
        <f t="shared" si="6"/>
        <v>Yes</v>
      </c>
      <c r="E43" s="26">
        <v>394.23</v>
      </c>
      <c r="F43" s="29">
        <v>680.18</v>
      </c>
      <c r="G43" s="39" t="s">
        <v>346</v>
      </c>
      <c r="H43" s="7">
        <f t="shared" si="0"/>
        <v>1074.4099999999999</v>
      </c>
    </row>
    <row r="44" spans="1:8" x14ac:dyDescent="0.35">
      <c r="A44" s="3" t="s">
        <v>42</v>
      </c>
      <c r="B44" s="16">
        <v>1.8505476605280003E-2</v>
      </c>
      <c r="C44" s="8" t="s">
        <v>42</v>
      </c>
      <c r="D44" s="33" t="str">
        <f t="shared" si="6"/>
        <v>No</v>
      </c>
      <c r="E44" s="26">
        <v>264539.09000000003</v>
      </c>
      <c r="F44" s="29">
        <v>456416.25</v>
      </c>
      <c r="G44" s="39" t="s">
        <v>346</v>
      </c>
      <c r="H44" s="7">
        <f t="shared" si="0"/>
        <v>720955.34000000008</v>
      </c>
    </row>
    <row r="45" spans="1:8" x14ac:dyDescent="0.35">
      <c r="A45" s="3" t="s">
        <v>14</v>
      </c>
      <c r="B45" s="16">
        <v>3.3093395469285523E-5</v>
      </c>
      <c r="C45" s="8" t="s">
        <v>69</v>
      </c>
      <c r="D45" s="33" t="str">
        <f t="shared" si="6"/>
        <v>Yes</v>
      </c>
      <c r="E45" s="26">
        <v>473.08</v>
      </c>
      <c r="F45" s="29">
        <v>816.21</v>
      </c>
      <c r="G45" s="39" t="s">
        <v>346</v>
      </c>
      <c r="H45" s="7">
        <f t="shared" si="0"/>
        <v>1289.29</v>
      </c>
    </row>
    <row r="46" spans="1:8" x14ac:dyDescent="0.35">
      <c r="A46" s="3" t="s">
        <v>22</v>
      </c>
      <c r="B46" s="16">
        <v>2.6353816720000004E-3</v>
      </c>
      <c r="C46" s="8" t="s">
        <v>70</v>
      </c>
      <c r="D46" s="33" t="str">
        <f t="shared" si="6"/>
        <v>No</v>
      </c>
      <c r="E46" s="26">
        <v>37673.25</v>
      </c>
      <c r="F46" s="29">
        <v>64998.65</v>
      </c>
      <c r="G46" s="39" t="s">
        <v>346</v>
      </c>
      <c r="H46" s="7">
        <f t="shared" si="0"/>
        <v>102671.9</v>
      </c>
    </row>
    <row r="47" spans="1:8" x14ac:dyDescent="0.35">
      <c r="A47" s="3" t="s">
        <v>14</v>
      </c>
      <c r="B47" s="16">
        <v>1.211863496205807E-4</v>
      </c>
      <c r="C47" s="8" t="s">
        <v>71</v>
      </c>
      <c r="D47" s="33" t="str">
        <f t="shared" si="6"/>
        <v>No</v>
      </c>
      <c r="E47" s="26">
        <v>1732.38</v>
      </c>
      <c r="F47" s="29">
        <v>2988.92</v>
      </c>
      <c r="G47" s="39" t="s">
        <v>346</v>
      </c>
      <c r="H47" s="7">
        <f t="shared" si="0"/>
        <v>4721.3</v>
      </c>
    </row>
    <row r="48" spans="1:8" x14ac:dyDescent="0.35">
      <c r="A48" s="3" t="s">
        <v>72</v>
      </c>
      <c r="B48" s="16">
        <v>4.1274553924800002E-3</v>
      </c>
      <c r="C48" s="8" t="s">
        <v>72</v>
      </c>
      <c r="D48" s="33" t="str">
        <f t="shared" si="6"/>
        <v>No</v>
      </c>
      <c r="E48" s="26">
        <v>59002.71</v>
      </c>
      <c r="F48" s="29">
        <v>101798.93</v>
      </c>
      <c r="G48" s="39" t="s">
        <v>346</v>
      </c>
      <c r="H48" s="7">
        <f t="shared" si="0"/>
        <v>160801.63999999998</v>
      </c>
    </row>
    <row r="49" spans="1:8" x14ac:dyDescent="0.35">
      <c r="A49" s="3" t="s">
        <v>73</v>
      </c>
      <c r="B49" s="16">
        <v>2.1428580409600002E-3</v>
      </c>
      <c r="C49" s="8" t="s">
        <v>73</v>
      </c>
      <c r="D49" s="33" t="str">
        <f t="shared" si="6"/>
        <v>No</v>
      </c>
      <c r="E49" s="26">
        <v>30632.54</v>
      </c>
      <c r="F49" s="29">
        <v>52851.12</v>
      </c>
      <c r="G49" s="39" t="s">
        <v>346</v>
      </c>
      <c r="H49" s="7">
        <f t="shared" si="0"/>
        <v>83483.66</v>
      </c>
    </row>
    <row r="50" spans="1:8" x14ac:dyDescent="0.35">
      <c r="A50" s="3" t="s">
        <v>74</v>
      </c>
      <c r="B50" s="16">
        <v>3.1672388092800004E-3</v>
      </c>
      <c r="C50" s="8" t="s">
        <v>74</v>
      </c>
      <c r="D50" s="33" t="str">
        <f t="shared" si="6"/>
        <v>No</v>
      </c>
      <c r="E50" s="26">
        <v>45276.24</v>
      </c>
      <c r="F50" s="29">
        <v>78116.289999999994</v>
      </c>
      <c r="G50" s="39" t="s">
        <v>346</v>
      </c>
      <c r="H50" s="7">
        <f t="shared" si="0"/>
        <v>123392.53</v>
      </c>
    </row>
    <row r="51" spans="1:8" x14ac:dyDescent="0.35">
      <c r="A51" s="3" t="s">
        <v>75</v>
      </c>
      <c r="B51" s="16">
        <v>1.2625116440371095E-3</v>
      </c>
      <c r="C51" s="8" t="s">
        <v>76</v>
      </c>
      <c r="D51" s="33" t="str">
        <f t="shared" si="6"/>
        <v>No</v>
      </c>
      <c r="E51" s="26">
        <v>18047.830000000002</v>
      </c>
      <c r="F51" s="29">
        <v>31138.39</v>
      </c>
      <c r="G51" s="39" t="s">
        <v>346</v>
      </c>
      <c r="H51" s="7">
        <f t="shared" si="0"/>
        <v>49186.22</v>
      </c>
    </row>
    <row r="52" spans="1:8" x14ac:dyDescent="0.35">
      <c r="A52" s="3" t="s">
        <v>77</v>
      </c>
      <c r="B52" s="16">
        <v>2.6802056915200003E-3</v>
      </c>
      <c r="C52" s="8" t="s">
        <v>77</v>
      </c>
      <c r="D52" s="33" t="str">
        <f t="shared" si="6"/>
        <v>No</v>
      </c>
      <c r="E52" s="26">
        <v>38314.019999999997</v>
      </c>
      <c r="F52" s="29">
        <v>66104.179999999993</v>
      </c>
      <c r="G52" s="39" t="s">
        <v>346</v>
      </c>
      <c r="H52" s="7">
        <f t="shared" si="0"/>
        <v>104418.19999999998</v>
      </c>
    </row>
    <row r="53" spans="1:8" x14ac:dyDescent="0.35">
      <c r="A53" s="3" t="s">
        <v>78</v>
      </c>
      <c r="B53" s="16">
        <v>2.7998174328112426E-3</v>
      </c>
      <c r="C53" s="8" t="s">
        <v>78</v>
      </c>
      <c r="D53" s="33" t="str">
        <f t="shared" si="6"/>
        <v>No</v>
      </c>
      <c r="E53" s="26">
        <v>40023.89</v>
      </c>
      <c r="F53" s="29">
        <v>69054.27</v>
      </c>
      <c r="G53" s="39" t="s">
        <v>346</v>
      </c>
      <c r="H53" s="7">
        <f t="shared" si="0"/>
        <v>109078.16</v>
      </c>
    </row>
    <row r="54" spans="1:8" x14ac:dyDescent="0.35">
      <c r="A54" s="3" t="s">
        <v>34</v>
      </c>
      <c r="B54" s="16">
        <v>1.3949733207608273E-4</v>
      </c>
      <c r="C54" s="8" t="s">
        <v>79</v>
      </c>
      <c r="D54" s="33" t="str">
        <f t="shared" si="6"/>
        <v>No</v>
      </c>
      <c r="E54" s="26">
        <v>1994.14</v>
      </c>
      <c r="F54" s="29">
        <v>3440.54</v>
      </c>
      <c r="G54" s="39" t="s">
        <v>346</v>
      </c>
      <c r="H54" s="7">
        <f t="shared" si="0"/>
        <v>5434.68</v>
      </c>
    </row>
    <row r="55" spans="1:8" x14ac:dyDescent="0.35">
      <c r="A55" s="3" t="s">
        <v>75</v>
      </c>
      <c r="B55" s="16">
        <v>6.5243179433600003E-3</v>
      </c>
      <c r="C55" s="8" t="s">
        <v>80</v>
      </c>
      <c r="D55" s="33" t="str">
        <f t="shared" si="6"/>
        <v>No</v>
      </c>
      <c r="E55" s="26">
        <v>93266.29</v>
      </c>
      <c r="F55" s="29">
        <v>160914.78</v>
      </c>
      <c r="G55" s="39" t="s">
        <v>346</v>
      </c>
      <c r="H55" s="7">
        <f t="shared" si="0"/>
        <v>254181.07</v>
      </c>
    </row>
    <row r="56" spans="1:8" x14ac:dyDescent="0.35">
      <c r="A56" s="3" t="s">
        <v>40</v>
      </c>
      <c r="B56" s="16">
        <v>5.4026690121600001E-3</v>
      </c>
      <c r="C56" s="8" t="s">
        <v>40</v>
      </c>
      <c r="D56" s="33" t="str">
        <f t="shared" si="6"/>
        <v>No</v>
      </c>
      <c r="E56" s="26">
        <v>77232.12</v>
      </c>
      <c r="F56" s="29">
        <v>133250.6</v>
      </c>
      <c r="G56" s="39" t="s">
        <v>346</v>
      </c>
      <c r="H56" s="7">
        <f t="shared" si="0"/>
        <v>210482.72</v>
      </c>
    </row>
    <row r="57" spans="1:8" x14ac:dyDescent="0.35">
      <c r="A57" s="3" t="s">
        <v>58</v>
      </c>
      <c r="B57" s="16">
        <v>7.7283577009453522E-5</v>
      </c>
      <c r="C57" s="8" t="s">
        <v>81</v>
      </c>
      <c r="D57" s="33" t="str">
        <f t="shared" si="6"/>
        <v>Yes</v>
      </c>
      <c r="E57" s="26">
        <v>1104.78</v>
      </c>
      <c r="F57" s="29">
        <v>1906.11</v>
      </c>
      <c r="G57" s="39" t="s">
        <v>346</v>
      </c>
      <c r="H57" s="7">
        <f t="shared" si="0"/>
        <v>3010.89</v>
      </c>
    </row>
    <row r="58" spans="1:8" x14ac:dyDescent="0.35">
      <c r="A58" s="3" t="s">
        <v>34</v>
      </c>
      <c r="B58" s="16">
        <v>1.9885436190897308E-4</v>
      </c>
      <c r="C58" s="8" t="s">
        <v>82</v>
      </c>
      <c r="D58" s="8" t="s">
        <v>337</v>
      </c>
      <c r="E58" s="26">
        <v>0</v>
      </c>
      <c r="F58" s="29">
        <v>0</v>
      </c>
      <c r="G58" s="39" t="s">
        <v>346</v>
      </c>
      <c r="H58" s="7">
        <f t="shared" si="0"/>
        <v>0</v>
      </c>
    </row>
    <row r="59" spans="1:8" x14ac:dyDescent="0.35">
      <c r="A59" s="3" t="s">
        <v>83</v>
      </c>
      <c r="B59" s="16">
        <v>8.4518667745893796E-5</v>
      </c>
      <c r="C59" s="8" t="s">
        <v>84</v>
      </c>
      <c r="D59" s="33" t="str">
        <f t="shared" ref="D59:D98" si="7">IF(B59&lt;0.000083,"Yes","No")</f>
        <v>No</v>
      </c>
      <c r="E59" s="26">
        <v>1208.21</v>
      </c>
      <c r="F59" s="29">
        <v>2084.56</v>
      </c>
      <c r="G59" s="39" t="s">
        <v>346</v>
      </c>
      <c r="H59" s="7">
        <f t="shared" si="0"/>
        <v>3292.77</v>
      </c>
    </row>
    <row r="60" spans="1:8" x14ac:dyDescent="0.35">
      <c r="A60" s="3" t="s">
        <v>83</v>
      </c>
      <c r="B60" s="16">
        <v>9.5907662226293643E-6</v>
      </c>
      <c r="C60" s="8" t="s">
        <v>85</v>
      </c>
      <c r="D60" s="33" t="str">
        <f t="shared" si="7"/>
        <v>Yes</v>
      </c>
      <c r="E60" s="26">
        <v>137.1</v>
      </c>
      <c r="F60" s="29">
        <v>236.55</v>
      </c>
      <c r="G60" s="39" t="s">
        <v>346</v>
      </c>
      <c r="H60" s="7">
        <f t="shared" si="0"/>
        <v>373.65</v>
      </c>
    </row>
    <row r="61" spans="1:8" x14ac:dyDescent="0.35">
      <c r="A61" s="3" t="s">
        <v>86</v>
      </c>
      <c r="B61" s="16">
        <v>2.88625325072E-3</v>
      </c>
      <c r="C61" s="8" t="s">
        <v>86</v>
      </c>
      <c r="D61" s="33" t="str">
        <f t="shared" si="7"/>
        <v>No</v>
      </c>
      <c r="E61" s="26">
        <v>41259.51</v>
      </c>
      <c r="F61" s="29">
        <v>71186.11</v>
      </c>
      <c r="G61" s="39" t="s">
        <v>346</v>
      </c>
      <c r="H61" s="7">
        <f t="shared" si="0"/>
        <v>112445.62</v>
      </c>
    </row>
    <row r="62" spans="1:8" x14ac:dyDescent="0.35">
      <c r="A62" s="3" t="s">
        <v>63</v>
      </c>
      <c r="B62" s="16">
        <v>8.8446355339343792E-5</v>
      </c>
      <c r="C62" s="8" t="s">
        <v>87</v>
      </c>
      <c r="D62" s="33" t="str">
        <f t="shared" si="7"/>
        <v>No</v>
      </c>
      <c r="E62" s="26">
        <v>1264.3599999999999</v>
      </c>
      <c r="F62" s="29">
        <v>2181.4299999999998</v>
      </c>
      <c r="G62" s="39" t="s">
        <v>346</v>
      </c>
      <c r="H62" s="7">
        <f t="shared" si="0"/>
        <v>3445.79</v>
      </c>
    </row>
    <row r="63" spans="1:8" x14ac:dyDescent="0.35">
      <c r="A63" s="3" t="s">
        <v>22</v>
      </c>
      <c r="B63" s="16">
        <v>2.9965833191952238E-3</v>
      </c>
      <c r="C63" s="8" t="s">
        <v>88</v>
      </c>
      <c r="D63" s="33" t="str">
        <f t="shared" si="7"/>
        <v>No</v>
      </c>
      <c r="E63" s="26">
        <v>42836.69</v>
      </c>
      <c r="F63" s="29">
        <v>73907.27</v>
      </c>
      <c r="G63" s="39" t="s">
        <v>346</v>
      </c>
      <c r="H63" s="7">
        <f t="shared" si="0"/>
        <v>116743.96</v>
      </c>
    </row>
    <row r="64" spans="1:8" x14ac:dyDescent="0.35">
      <c r="A64" s="3" t="s">
        <v>22</v>
      </c>
      <c r="B64" s="16">
        <v>1.053620174976995E-3</v>
      </c>
      <c r="C64" s="8" t="s">
        <v>89</v>
      </c>
      <c r="D64" s="33" t="str">
        <f t="shared" si="7"/>
        <v>No</v>
      </c>
      <c r="E64" s="26">
        <v>15061.69</v>
      </c>
      <c r="F64" s="29">
        <v>25986.33</v>
      </c>
      <c r="G64" s="39" t="s">
        <v>346</v>
      </c>
      <c r="H64" s="7">
        <f t="shared" si="0"/>
        <v>41048.020000000004</v>
      </c>
    </row>
    <row r="65" spans="1:8" x14ac:dyDescent="0.35">
      <c r="A65" s="3" t="s">
        <v>90</v>
      </c>
      <c r="B65" s="16">
        <v>1.9675310549654214E-4</v>
      </c>
      <c r="C65" s="8" t="s">
        <v>91</v>
      </c>
      <c r="D65" s="33" t="str">
        <f t="shared" si="7"/>
        <v>No</v>
      </c>
      <c r="E65" s="26">
        <v>2812.62</v>
      </c>
      <c r="F65" s="29">
        <v>4852.6899999999996</v>
      </c>
      <c r="G65" s="39" t="s">
        <v>346</v>
      </c>
      <c r="H65" s="7">
        <f t="shared" si="0"/>
        <v>7665.3099999999995</v>
      </c>
    </row>
    <row r="66" spans="1:8" x14ac:dyDescent="0.35">
      <c r="A66" s="3" t="s">
        <v>92</v>
      </c>
      <c r="B66" s="16">
        <v>4.0553892204887014E-4</v>
      </c>
      <c r="C66" s="8" t="s">
        <v>93</v>
      </c>
      <c r="D66" s="33" t="str">
        <f t="shared" si="7"/>
        <v>No</v>
      </c>
      <c r="E66" s="26">
        <v>5797.25</v>
      </c>
      <c r="F66" s="29">
        <v>10002.15</v>
      </c>
      <c r="G66" s="39" t="s">
        <v>346</v>
      </c>
      <c r="H66" s="7">
        <f t="shared" si="0"/>
        <v>15799.4</v>
      </c>
    </row>
    <row r="67" spans="1:8" x14ac:dyDescent="0.35">
      <c r="A67" s="3" t="s">
        <v>94</v>
      </c>
      <c r="B67" s="16">
        <v>2.6044851582400002E-3</v>
      </c>
      <c r="C67" s="8" t="s">
        <v>94</v>
      </c>
      <c r="D67" s="33" t="str">
        <f t="shared" si="7"/>
        <v>No</v>
      </c>
      <c r="E67" s="26">
        <v>37231.58</v>
      </c>
      <c r="F67" s="29">
        <v>64236.62</v>
      </c>
      <c r="G67" s="39" t="s">
        <v>346</v>
      </c>
      <c r="H67" s="7">
        <f t="shared" si="0"/>
        <v>101468.20000000001</v>
      </c>
    </row>
    <row r="68" spans="1:8" x14ac:dyDescent="0.35">
      <c r="A68" s="3" t="s">
        <v>22</v>
      </c>
      <c r="B68" s="16">
        <v>7.1316532282240011E-2</v>
      </c>
      <c r="C68" s="8" t="s">
        <v>95</v>
      </c>
      <c r="D68" s="33" t="str">
        <f t="shared" si="7"/>
        <v>No</v>
      </c>
      <c r="E68" s="26">
        <v>1019482.55</v>
      </c>
      <c r="F68" s="29">
        <v>1758940.06</v>
      </c>
      <c r="G68" s="39" t="s">
        <v>346</v>
      </c>
      <c r="H68" s="7">
        <f t="shared" si="0"/>
        <v>2778422.6100000003</v>
      </c>
    </row>
    <row r="69" spans="1:8" ht="18.75" customHeight="1" x14ac:dyDescent="0.35">
      <c r="A69" s="3" t="s">
        <v>22</v>
      </c>
      <c r="B69" s="16">
        <v>0</v>
      </c>
      <c r="C69" s="8" t="s">
        <v>96</v>
      </c>
      <c r="D69" s="33" t="str">
        <f t="shared" si="7"/>
        <v>Yes</v>
      </c>
      <c r="E69" s="29">
        <v>0</v>
      </c>
      <c r="F69" s="29">
        <v>0</v>
      </c>
      <c r="G69" s="39" t="s">
        <v>346</v>
      </c>
      <c r="H69" s="7">
        <f t="shared" ref="H69:H132" si="8">SUM(E69:G69)</f>
        <v>0</v>
      </c>
    </row>
    <row r="70" spans="1:8" x14ac:dyDescent="0.35">
      <c r="A70" s="3" t="s">
        <v>40</v>
      </c>
      <c r="B70" s="16">
        <v>3.6770177791889988E-4</v>
      </c>
      <c r="C70" s="8" t="s">
        <v>97</v>
      </c>
      <c r="D70" s="33" t="str">
        <f t="shared" si="7"/>
        <v>No</v>
      </c>
      <c r="E70" s="26">
        <v>5256.36</v>
      </c>
      <c r="F70" s="29">
        <v>9068.94</v>
      </c>
      <c r="G70" s="39" t="s">
        <v>346</v>
      </c>
      <c r="H70" s="7">
        <f t="shared" si="8"/>
        <v>14325.3</v>
      </c>
    </row>
    <row r="71" spans="1:8" x14ac:dyDescent="0.35">
      <c r="A71" s="3" t="s">
        <v>98</v>
      </c>
      <c r="B71" s="16">
        <v>2.7729291699199999E-3</v>
      </c>
      <c r="C71" s="8" t="s">
        <v>98</v>
      </c>
      <c r="D71" s="33" t="str">
        <f t="shared" si="7"/>
        <v>No</v>
      </c>
      <c r="E71" s="26">
        <v>39639.519999999997</v>
      </c>
      <c r="F71" s="29">
        <v>68391.100000000006</v>
      </c>
      <c r="G71" s="39" t="s">
        <v>346</v>
      </c>
      <c r="H71" s="7">
        <f t="shared" si="8"/>
        <v>108030.62</v>
      </c>
    </row>
    <row r="72" spans="1:8" x14ac:dyDescent="0.35">
      <c r="A72" s="3" t="s">
        <v>99</v>
      </c>
      <c r="B72" s="16">
        <v>1.4646766740742973E-5</v>
      </c>
      <c r="C72" s="8" t="s">
        <v>100</v>
      </c>
      <c r="D72" s="33" t="str">
        <f t="shared" si="7"/>
        <v>Yes</v>
      </c>
      <c r="E72" s="26">
        <v>209.38</v>
      </c>
      <c r="F72" s="29">
        <v>361.25</v>
      </c>
      <c r="G72" s="39" t="s">
        <v>346</v>
      </c>
      <c r="H72" s="7">
        <f t="shared" si="8"/>
        <v>570.63</v>
      </c>
    </row>
    <row r="73" spans="1:8" x14ac:dyDescent="0.35">
      <c r="A73" s="3" t="s">
        <v>14</v>
      </c>
      <c r="B73" s="16">
        <v>2.0735405898422254E-4</v>
      </c>
      <c r="C73" s="8" t="s">
        <v>101</v>
      </c>
      <c r="D73" s="33" t="str">
        <f t="shared" si="7"/>
        <v>No</v>
      </c>
      <c r="E73" s="26">
        <v>2964.16</v>
      </c>
      <c r="F73" s="29">
        <v>5114.1499999999996</v>
      </c>
      <c r="G73" s="39" t="s">
        <v>346</v>
      </c>
      <c r="H73" s="7">
        <f t="shared" si="8"/>
        <v>8078.3099999999995</v>
      </c>
    </row>
    <row r="74" spans="1:8" x14ac:dyDescent="0.35">
      <c r="A74" s="3" t="s">
        <v>102</v>
      </c>
      <c r="B74" s="16">
        <v>1.9287731411200004E-3</v>
      </c>
      <c r="C74" s="8" t="s">
        <v>103</v>
      </c>
      <c r="D74" s="33" t="str">
        <f t="shared" si="7"/>
        <v>No</v>
      </c>
      <c r="E74" s="26">
        <v>27572.16</v>
      </c>
      <c r="F74" s="29">
        <v>47570.97</v>
      </c>
      <c r="G74" s="39" t="s">
        <v>346</v>
      </c>
      <c r="H74" s="7">
        <f t="shared" si="8"/>
        <v>75143.13</v>
      </c>
    </row>
    <row r="75" spans="1:8" x14ac:dyDescent="0.35">
      <c r="A75" s="3" t="s">
        <v>75</v>
      </c>
      <c r="B75" s="16">
        <v>1.6772498197081106E-3</v>
      </c>
      <c r="C75" s="8" t="s">
        <v>104</v>
      </c>
      <c r="D75" s="33" t="str">
        <f t="shared" si="7"/>
        <v>No</v>
      </c>
      <c r="E75" s="26">
        <v>23976.59</v>
      </c>
      <c r="F75" s="29">
        <v>41367.43</v>
      </c>
      <c r="G75" s="39" t="s">
        <v>346</v>
      </c>
      <c r="H75" s="7">
        <f t="shared" si="8"/>
        <v>65344.020000000004</v>
      </c>
    </row>
    <row r="76" spans="1:8" x14ac:dyDescent="0.35">
      <c r="A76" s="3" t="s">
        <v>92</v>
      </c>
      <c r="B76" s="16">
        <v>1.0040382409120001E-2</v>
      </c>
      <c r="C76" s="8" t="s">
        <v>92</v>
      </c>
      <c r="D76" s="33" t="str">
        <f t="shared" si="7"/>
        <v>No</v>
      </c>
      <c r="E76" s="26">
        <v>143529.06</v>
      </c>
      <c r="F76" s="29">
        <v>247634.46</v>
      </c>
      <c r="G76" s="39" t="s">
        <v>346</v>
      </c>
      <c r="H76" s="7">
        <f t="shared" si="8"/>
        <v>391163.52</v>
      </c>
    </row>
    <row r="77" spans="1:8" x14ac:dyDescent="0.35">
      <c r="A77" s="3" t="s">
        <v>105</v>
      </c>
      <c r="B77" s="16">
        <v>5.9203304839503929E-5</v>
      </c>
      <c r="C77" s="8" t="s">
        <v>106</v>
      </c>
      <c r="D77" s="33" t="str">
        <f t="shared" si="7"/>
        <v>Yes</v>
      </c>
      <c r="E77" s="26">
        <v>846.32</v>
      </c>
      <c r="F77" s="29">
        <v>1460.18</v>
      </c>
      <c r="G77" s="39" t="s">
        <v>346</v>
      </c>
      <c r="H77" s="7">
        <f t="shared" si="8"/>
        <v>2306.5</v>
      </c>
    </row>
    <row r="78" spans="1:8" x14ac:dyDescent="0.35">
      <c r="A78" s="3" t="s">
        <v>107</v>
      </c>
      <c r="B78" s="16">
        <v>1.8132565778312178E-3</v>
      </c>
      <c r="C78" s="8" t="s">
        <v>107</v>
      </c>
      <c r="D78" s="33" t="str">
        <f t="shared" si="7"/>
        <v>No</v>
      </c>
      <c r="E78" s="26">
        <v>25920.83</v>
      </c>
      <c r="F78" s="29">
        <v>44721.88</v>
      </c>
      <c r="G78" s="39" t="s">
        <v>346</v>
      </c>
      <c r="H78" s="7">
        <f t="shared" si="8"/>
        <v>70642.709999999992</v>
      </c>
    </row>
    <row r="79" spans="1:8" x14ac:dyDescent="0.35">
      <c r="A79" s="3" t="s">
        <v>42</v>
      </c>
      <c r="B79" s="16">
        <v>8.1390405570217945E-5</v>
      </c>
      <c r="C79" s="8" t="s">
        <v>108</v>
      </c>
      <c r="D79" s="33" t="str">
        <f t="shared" si="7"/>
        <v>Yes</v>
      </c>
      <c r="E79" s="26">
        <v>1163.49</v>
      </c>
      <c r="F79" s="29">
        <v>2007.4</v>
      </c>
      <c r="G79" s="39" t="s">
        <v>346</v>
      </c>
      <c r="H79" s="7">
        <f t="shared" si="8"/>
        <v>3170.8900000000003</v>
      </c>
    </row>
    <row r="80" spans="1:8" x14ac:dyDescent="0.35">
      <c r="A80" s="3" t="s">
        <v>94</v>
      </c>
      <c r="B80" s="16">
        <v>1.8102084784E-4</v>
      </c>
      <c r="C80" s="8" t="s">
        <v>109</v>
      </c>
      <c r="D80" s="33" t="str">
        <f t="shared" si="7"/>
        <v>No</v>
      </c>
      <c r="E80" s="26">
        <v>2587.73</v>
      </c>
      <c r="F80" s="29">
        <v>4464.67</v>
      </c>
      <c r="G80" s="39" t="s">
        <v>346</v>
      </c>
      <c r="H80" s="7">
        <f t="shared" si="8"/>
        <v>7052.4</v>
      </c>
    </row>
    <row r="81" spans="1:8" x14ac:dyDescent="0.35">
      <c r="A81" s="3" t="s">
        <v>34</v>
      </c>
      <c r="B81" s="16">
        <v>2.2024727769051096E-4</v>
      </c>
      <c r="C81" s="8" t="s">
        <v>110</v>
      </c>
      <c r="D81" s="33" t="str">
        <f t="shared" si="7"/>
        <v>No</v>
      </c>
      <c r="E81" s="26">
        <v>3148.47</v>
      </c>
      <c r="F81" s="29">
        <v>5432.15</v>
      </c>
      <c r="G81" s="39" t="s">
        <v>346</v>
      </c>
      <c r="H81" s="7">
        <f t="shared" si="8"/>
        <v>8580.619999999999</v>
      </c>
    </row>
    <row r="82" spans="1:8" x14ac:dyDescent="0.35">
      <c r="A82" s="3" t="s">
        <v>34</v>
      </c>
      <c r="B82" s="16">
        <v>1.6511895197089239E-3</v>
      </c>
      <c r="C82" s="8" t="s">
        <v>111</v>
      </c>
      <c r="D82" s="33" t="str">
        <f t="shared" si="7"/>
        <v>No</v>
      </c>
      <c r="E82" s="26">
        <v>23604.05</v>
      </c>
      <c r="F82" s="29">
        <v>40724.69</v>
      </c>
      <c r="G82" s="39" t="s">
        <v>346</v>
      </c>
      <c r="H82" s="7">
        <f t="shared" si="8"/>
        <v>64328.740000000005</v>
      </c>
    </row>
    <row r="83" spans="1:8" x14ac:dyDescent="0.35">
      <c r="A83" s="3" t="s">
        <v>63</v>
      </c>
      <c r="B83" s="16">
        <v>1.8526953699043198E-5</v>
      </c>
      <c r="C83" s="8" t="s">
        <v>112</v>
      </c>
      <c r="D83" s="33" t="str">
        <f t="shared" si="7"/>
        <v>Yes</v>
      </c>
      <c r="E83" s="26">
        <v>264.85000000000002</v>
      </c>
      <c r="F83" s="29">
        <v>456.95</v>
      </c>
      <c r="G83" s="39" t="s">
        <v>346</v>
      </c>
      <c r="H83" s="7">
        <f t="shared" si="8"/>
        <v>721.8</v>
      </c>
    </row>
    <row r="84" spans="1:8" x14ac:dyDescent="0.35">
      <c r="A84" s="3" t="s">
        <v>113</v>
      </c>
      <c r="B84" s="16">
        <v>4.7960718893470176E-4</v>
      </c>
      <c r="C84" s="8" t="s">
        <v>114</v>
      </c>
      <c r="D84" s="33" t="str">
        <f t="shared" si="7"/>
        <v>No</v>
      </c>
      <c r="E84" s="26">
        <v>6856.07</v>
      </c>
      <c r="F84" s="29">
        <v>11828.96</v>
      </c>
      <c r="G84" s="39" t="s">
        <v>346</v>
      </c>
      <c r="H84" s="7">
        <f t="shared" si="8"/>
        <v>18685.03</v>
      </c>
    </row>
    <row r="85" spans="1:8" x14ac:dyDescent="0.35">
      <c r="A85" s="3" t="s">
        <v>34</v>
      </c>
      <c r="B85" s="16">
        <v>8.911313493618362E-4</v>
      </c>
      <c r="C85" s="8" t="s">
        <v>115</v>
      </c>
      <c r="D85" s="33" t="str">
        <f t="shared" si="7"/>
        <v>No</v>
      </c>
      <c r="E85" s="26">
        <v>12738.88</v>
      </c>
      <c r="F85" s="29">
        <v>21978.73</v>
      </c>
      <c r="G85" s="39" t="s">
        <v>346</v>
      </c>
      <c r="H85" s="7">
        <f t="shared" si="8"/>
        <v>34717.61</v>
      </c>
    </row>
    <row r="86" spans="1:8" x14ac:dyDescent="0.35">
      <c r="A86" s="3" t="s">
        <v>116</v>
      </c>
      <c r="B86" s="16">
        <v>1.717819666839331E-4</v>
      </c>
      <c r="C86" s="8" t="s">
        <v>117</v>
      </c>
      <c r="D86" s="33" t="str">
        <f t="shared" si="7"/>
        <v>No</v>
      </c>
      <c r="E86" s="26">
        <v>2455.65</v>
      </c>
      <c r="F86" s="29">
        <v>4236.8</v>
      </c>
      <c r="G86" s="39" t="s">
        <v>346</v>
      </c>
      <c r="H86" s="7">
        <f t="shared" si="8"/>
        <v>6692.4500000000007</v>
      </c>
    </row>
    <row r="87" spans="1:8" x14ac:dyDescent="0.35">
      <c r="A87" s="3" t="s">
        <v>63</v>
      </c>
      <c r="B87" s="16">
        <v>2.5575490326387143E-4</v>
      </c>
      <c r="C87" s="8" t="s">
        <v>118</v>
      </c>
      <c r="D87" s="33" t="str">
        <f t="shared" si="7"/>
        <v>No</v>
      </c>
      <c r="E87" s="26">
        <v>3656.06</v>
      </c>
      <c r="F87" s="29">
        <v>6307.9</v>
      </c>
      <c r="G87" s="39" t="s">
        <v>346</v>
      </c>
      <c r="H87" s="7">
        <f t="shared" si="8"/>
        <v>9963.9599999999991</v>
      </c>
    </row>
    <row r="88" spans="1:8" x14ac:dyDescent="0.35">
      <c r="A88" s="3" t="s">
        <v>63</v>
      </c>
      <c r="B88" s="16">
        <v>2.9548125614560005E-2</v>
      </c>
      <c r="C88" s="8" t="s">
        <v>119</v>
      </c>
      <c r="D88" s="33" t="str">
        <f t="shared" si="7"/>
        <v>No</v>
      </c>
      <c r="E88" s="26">
        <v>422395.73</v>
      </c>
      <c r="F88" s="29">
        <v>728770.46</v>
      </c>
      <c r="G88" s="39" t="s">
        <v>346</v>
      </c>
      <c r="H88" s="7">
        <f t="shared" si="8"/>
        <v>1151166.19</v>
      </c>
    </row>
    <row r="89" spans="1:8" x14ac:dyDescent="0.35">
      <c r="A89" s="3" t="s">
        <v>63</v>
      </c>
      <c r="B89" s="16">
        <v>3.7431147041579692E-5</v>
      </c>
      <c r="C89" s="8" t="s">
        <v>120</v>
      </c>
      <c r="D89" s="33" t="str">
        <f t="shared" si="7"/>
        <v>Yes</v>
      </c>
      <c r="E89" s="26">
        <v>535.08000000000004</v>
      </c>
      <c r="F89" s="29">
        <v>923.2</v>
      </c>
      <c r="G89" s="39" t="s">
        <v>346</v>
      </c>
      <c r="H89" s="7">
        <f t="shared" si="8"/>
        <v>1458.2800000000002</v>
      </c>
    </row>
    <row r="90" spans="1:8" x14ac:dyDescent="0.35">
      <c r="A90" s="3" t="s">
        <v>121</v>
      </c>
      <c r="B90" s="16">
        <v>9.4416380822506951E-5</v>
      </c>
      <c r="C90" s="8" t="s">
        <v>122</v>
      </c>
      <c r="D90" s="33" t="str">
        <f t="shared" si="7"/>
        <v>No</v>
      </c>
      <c r="E90" s="26">
        <v>1349.7</v>
      </c>
      <c r="F90" s="29">
        <v>2328.67</v>
      </c>
      <c r="G90" s="39" t="s">
        <v>346</v>
      </c>
      <c r="H90" s="7">
        <f t="shared" si="8"/>
        <v>3678.37</v>
      </c>
    </row>
    <row r="91" spans="1:8" x14ac:dyDescent="0.35">
      <c r="A91" s="3" t="s">
        <v>75</v>
      </c>
      <c r="B91" s="16">
        <v>8.0090683849233263E-4</v>
      </c>
      <c r="C91" s="8" t="s">
        <v>123</v>
      </c>
      <c r="D91" s="33" t="str">
        <f t="shared" si="7"/>
        <v>No</v>
      </c>
      <c r="E91" s="26">
        <v>11449.11</v>
      </c>
      <c r="F91" s="29">
        <v>19753.439999999999</v>
      </c>
      <c r="G91" s="39" t="s">
        <v>346</v>
      </c>
      <c r="H91" s="7">
        <f t="shared" si="8"/>
        <v>31202.55</v>
      </c>
    </row>
    <row r="92" spans="1:8" x14ac:dyDescent="0.35">
      <c r="A92" s="3" t="s">
        <v>45</v>
      </c>
      <c r="B92" s="16">
        <v>4.8883853430216079E-4</v>
      </c>
      <c r="C92" s="8" t="s">
        <v>124</v>
      </c>
      <c r="D92" s="33" t="str">
        <f t="shared" si="7"/>
        <v>No</v>
      </c>
      <c r="E92" s="26">
        <v>6988.03</v>
      </c>
      <c r="F92" s="29">
        <v>12056.64</v>
      </c>
      <c r="G92" s="39" t="s">
        <v>346</v>
      </c>
      <c r="H92" s="7">
        <f t="shared" si="8"/>
        <v>19044.669999999998</v>
      </c>
    </row>
    <row r="93" spans="1:8" x14ac:dyDescent="0.35">
      <c r="A93" s="3" t="s">
        <v>105</v>
      </c>
      <c r="B93" s="16">
        <v>1.2927096154735895E-4</v>
      </c>
      <c r="C93" s="8" t="s">
        <v>125</v>
      </c>
      <c r="D93" s="33" t="str">
        <f t="shared" si="7"/>
        <v>No</v>
      </c>
      <c r="E93" s="26">
        <v>1847.95</v>
      </c>
      <c r="F93" s="29">
        <v>3188.32</v>
      </c>
      <c r="G93" s="39" t="s">
        <v>346</v>
      </c>
      <c r="H93" s="7">
        <f t="shared" si="8"/>
        <v>5036.2700000000004</v>
      </c>
    </row>
    <row r="94" spans="1:8" x14ac:dyDescent="0.35">
      <c r="A94" s="3" t="s">
        <v>14</v>
      </c>
      <c r="B94" s="16">
        <v>8.9914131120183972E-5</v>
      </c>
      <c r="C94" s="8" t="s">
        <v>126</v>
      </c>
      <c r="D94" s="33" t="str">
        <f t="shared" si="7"/>
        <v>No</v>
      </c>
      <c r="E94" s="26">
        <v>1285.3399999999999</v>
      </c>
      <c r="F94" s="29">
        <v>2217.63</v>
      </c>
      <c r="G94" s="39" t="s">
        <v>346</v>
      </c>
      <c r="H94" s="7">
        <f t="shared" si="8"/>
        <v>3502.9700000000003</v>
      </c>
    </row>
    <row r="95" spans="1:8" x14ac:dyDescent="0.35">
      <c r="A95" s="3" t="s">
        <v>22</v>
      </c>
      <c r="B95" s="16">
        <v>3.6022982039200801E-4</v>
      </c>
      <c r="C95" s="8" t="s">
        <v>127</v>
      </c>
      <c r="D95" s="33" t="str">
        <f t="shared" si="7"/>
        <v>No</v>
      </c>
      <c r="E95" s="26">
        <v>5149.55</v>
      </c>
      <c r="F95" s="29">
        <v>8884.65</v>
      </c>
      <c r="G95" s="39" t="s">
        <v>346</v>
      </c>
      <c r="H95" s="7">
        <f t="shared" si="8"/>
        <v>14034.2</v>
      </c>
    </row>
    <row r="96" spans="1:8" x14ac:dyDescent="0.35">
      <c r="A96" s="3" t="s">
        <v>99</v>
      </c>
      <c r="B96" s="16">
        <v>4.0665701695608492E-6</v>
      </c>
      <c r="C96" s="8" t="s">
        <v>128</v>
      </c>
      <c r="D96" s="33" t="str">
        <f t="shared" si="7"/>
        <v>Yes</v>
      </c>
      <c r="E96" s="26">
        <v>0</v>
      </c>
      <c r="F96" s="29">
        <v>0</v>
      </c>
      <c r="G96" s="39" t="s">
        <v>346</v>
      </c>
      <c r="H96" s="7">
        <f t="shared" si="8"/>
        <v>0</v>
      </c>
    </row>
    <row r="97" spans="1:8" x14ac:dyDescent="0.35">
      <c r="A97" s="3" t="s">
        <v>63</v>
      </c>
      <c r="B97" s="16">
        <v>1.2946224462663598E-4</v>
      </c>
      <c r="C97" s="8" t="s">
        <v>129</v>
      </c>
      <c r="D97" s="33" t="str">
        <f t="shared" si="7"/>
        <v>No</v>
      </c>
      <c r="E97" s="26">
        <v>0</v>
      </c>
      <c r="F97" s="29">
        <v>0</v>
      </c>
      <c r="G97" s="39" t="s">
        <v>346</v>
      </c>
      <c r="H97" s="7">
        <f t="shared" si="8"/>
        <v>0</v>
      </c>
    </row>
    <row r="98" spans="1:8" x14ac:dyDescent="0.35">
      <c r="A98" s="3" t="s">
        <v>63</v>
      </c>
      <c r="B98" s="16">
        <v>2.0590679067840002E-2</v>
      </c>
      <c r="C98" s="8" t="s">
        <v>63</v>
      </c>
      <c r="D98" s="33" t="str">
        <f t="shared" si="7"/>
        <v>No</v>
      </c>
      <c r="E98" s="26">
        <v>296198.12</v>
      </c>
      <c r="F98" s="29">
        <v>511038.39999999997</v>
      </c>
      <c r="G98" s="39" t="s">
        <v>346</v>
      </c>
      <c r="H98" s="7">
        <f t="shared" si="8"/>
        <v>807236.52</v>
      </c>
    </row>
    <row r="99" spans="1:8" x14ac:dyDescent="0.35">
      <c r="A99" s="3" t="s">
        <v>60</v>
      </c>
      <c r="B99" s="16">
        <v>7.5616735127273667E-7</v>
      </c>
      <c r="C99" s="8" t="s">
        <v>130</v>
      </c>
      <c r="D99" s="8" t="s">
        <v>337</v>
      </c>
      <c r="E99" s="26">
        <v>0</v>
      </c>
      <c r="F99" s="29">
        <v>0</v>
      </c>
      <c r="G99" s="39" t="s">
        <v>346</v>
      </c>
      <c r="H99" s="7">
        <f t="shared" si="8"/>
        <v>0</v>
      </c>
    </row>
    <row r="100" spans="1:8" x14ac:dyDescent="0.35">
      <c r="A100" s="3" t="s">
        <v>24</v>
      </c>
      <c r="B100" s="16">
        <v>7.2026920920619308E-5</v>
      </c>
      <c r="C100" s="8" t="s">
        <v>131</v>
      </c>
      <c r="D100" s="33" t="str">
        <f t="shared" ref="D100:D152" si="9">IF(B100&lt;0.000083,"Yes","No")</f>
        <v>Yes</v>
      </c>
      <c r="E100" s="26">
        <v>1029.6400000000001</v>
      </c>
      <c r="F100" s="29">
        <v>1776.46</v>
      </c>
      <c r="G100" s="39" t="s">
        <v>346</v>
      </c>
      <c r="H100" s="7">
        <f t="shared" si="8"/>
        <v>2806.1000000000004</v>
      </c>
    </row>
    <row r="101" spans="1:8" x14ac:dyDescent="0.35">
      <c r="A101" s="3" t="s">
        <v>132</v>
      </c>
      <c r="B101" s="16">
        <v>2.150307736298917E-3</v>
      </c>
      <c r="C101" s="8" t="s">
        <v>132</v>
      </c>
      <c r="D101" s="33" t="str">
        <f t="shared" si="9"/>
        <v>No</v>
      </c>
      <c r="E101" s="26">
        <v>30739.03</v>
      </c>
      <c r="F101" s="29">
        <v>53034.86</v>
      </c>
      <c r="G101" s="39" t="s">
        <v>346</v>
      </c>
      <c r="H101" s="7">
        <f t="shared" si="8"/>
        <v>83773.89</v>
      </c>
    </row>
    <row r="102" spans="1:8" x14ac:dyDescent="0.35">
      <c r="A102" s="3" t="s">
        <v>133</v>
      </c>
      <c r="B102" s="16">
        <v>7.4672268357818962E-4</v>
      </c>
      <c r="C102" s="8" t="s">
        <v>133</v>
      </c>
      <c r="D102" s="33" t="str">
        <f t="shared" si="9"/>
        <v>No</v>
      </c>
      <c r="E102" s="26">
        <v>10674.53</v>
      </c>
      <c r="F102" s="29">
        <v>18417.05</v>
      </c>
      <c r="G102" s="39" t="s">
        <v>346</v>
      </c>
      <c r="H102" s="7">
        <f t="shared" si="8"/>
        <v>29091.58</v>
      </c>
    </row>
    <row r="103" spans="1:8" x14ac:dyDescent="0.35">
      <c r="A103" s="3" t="s">
        <v>63</v>
      </c>
      <c r="B103" s="16">
        <v>2.0983361149949468E-4</v>
      </c>
      <c r="C103" s="8" t="s">
        <v>134</v>
      </c>
      <c r="D103" s="33" t="str">
        <f t="shared" si="9"/>
        <v>No</v>
      </c>
      <c r="E103" s="26">
        <v>2999.61</v>
      </c>
      <c r="F103" s="29">
        <v>5175.3</v>
      </c>
      <c r="G103" s="39" t="s">
        <v>346</v>
      </c>
      <c r="H103" s="7">
        <f t="shared" si="8"/>
        <v>8174.91</v>
      </c>
    </row>
    <row r="104" spans="1:8" x14ac:dyDescent="0.35">
      <c r="A104" s="3" t="s">
        <v>24</v>
      </c>
      <c r="B104" s="16">
        <v>1.1276184998321618E-4</v>
      </c>
      <c r="C104" s="8" t="s">
        <v>135</v>
      </c>
      <c r="D104" s="33" t="str">
        <f t="shared" si="9"/>
        <v>No</v>
      </c>
      <c r="E104" s="26">
        <v>1611.95</v>
      </c>
      <c r="F104" s="29">
        <v>2781.14</v>
      </c>
      <c r="G104" s="39" t="s">
        <v>346</v>
      </c>
      <c r="H104" s="7">
        <f t="shared" si="8"/>
        <v>4393.09</v>
      </c>
    </row>
    <row r="105" spans="1:8" x14ac:dyDescent="0.35">
      <c r="A105" s="3" t="s">
        <v>24</v>
      </c>
      <c r="B105" s="16">
        <v>3.4772891380126724E-4</v>
      </c>
      <c r="C105" s="8" t="s">
        <v>136</v>
      </c>
      <c r="D105" s="33" t="str">
        <f t="shared" si="9"/>
        <v>No</v>
      </c>
      <c r="E105" s="26">
        <v>4970.8500000000004</v>
      </c>
      <c r="F105" s="29">
        <v>8576.33</v>
      </c>
      <c r="G105" s="39" t="s">
        <v>346</v>
      </c>
      <c r="H105" s="7">
        <f t="shared" si="8"/>
        <v>13547.18</v>
      </c>
    </row>
    <row r="106" spans="1:8" x14ac:dyDescent="0.35">
      <c r="A106" s="3" t="s">
        <v>14</v>
      </c>
      <c r="B106" s="16">
        <v>3.7568288969454963E-5</v>
      </c>
      <c r="C106" s="8" t="s">
        <v>137</v>
      </c>
      <c r="D106" s="33" t="str">
        <f t="shared" si="9"/>
        <v>Yes</v>
      </c>
      <c r="E106" s="26">
        <v>537.04999999999995</v>
      </c>
      <c r="F106" s="29">
        <v>926.58</v>
      </c>
      <c r="G106" s="39" t="s">
        <v>346</v>
      </c>
      <c r="H106" s="7">
        <f t="shared" si="8"/>
        <v>1463.63</v>
      </c>
    </row>
    <row r="107" spans="1:8" x14ac:dyDescent="0.35">
      <c r="A107" s="3" t="s">
        <v>14</v>
      </c>
      <c r="B107" s="16">
        <v>1.3440310107840001E-2</v>
      </c>
      <c r="C107" s="8" t="s">
        <v>138</v>
      </c>
      <c r="D107" s="33" t="str">
        <f t="shared" si="9"/>
        <v>No</v>
      </c>
      <c r="E107" s="26">
        <v>192131.63</v>
      </c>
      <c r="F107" s="29">
        <v>331489.76</v>
      </c>
      <c r="G107" s="39" t="s">
        <v>346</v>
      </c>
      <c r="H107" s="7">
        <f t="shared" si="8"/>
        <v>523621.39</v>
      </c>
    </row>
    <row r="108" spans="1:8" x14ac:dyDescent="0.35">
      <c r="A108" s="3" t="s">
        <v>99</v>
      </c>
      <c r="B108" s="16">
        <v>9.2338019804800008E-3</v>
      </c>
      <c r="C108" s="8" t="s">
        <v>99</v>
      </c>
      <c r="D108" s="33" t="str">
        <f t="shared" si="9"/>
        <v>No</v>
      </c>
      <c r="E108" s="26">
        <v>132056.98000000001</v>
      </c>
      <c r="F108" s="29">
        <v>227841.37999999998</v>
      </c>
      <c r="G108" s="39" t="s">
        <v>346</v>
      </c>
      <c r="H108" s="7">
        <f t="shared" si="8"/>
        <v>359898.36</v>
      </c>
    </row>
    <row r="109" spans="1:8" x14ac:dyDescent="0.35">
      <c r="A109" s="3" t="s">
        <v>14</v>
      </c>
      <c r="B109" s="16">
        <v>2.7801574282541815E-4</v>
      </c>
      <c r="C109" s="8" t="s">
        <v>139</v>
      </c>
      <c r="D109" s="33" t="str">
        <f t="shared" si="9"/>
        <v>No</v>
      </c>
      <c r="E109" s="26">
        <v>3974.28</v>
      </c>
      <c r="F109" s="29">
        <v>6856.94</v>
      </c>
      <c r="G109" s="39" t="s">
        <v>346</v>
      </c>
      <c r="H109" s="7">
        <f t="shared" si="8"/>
        <v>10831.22</v>
      </c>
    </row>
    <row r="110" spans="1:8" x14ac:dyDescent="0.35">
      <c r="A110" s="3" t="s">
        <v>140</v>
      </c>
      <c r="B110" s="16">
        <v>3.5251722027200001E-3</v>
      </c>
      <c r="C110" s="8" t="s">
        <v>140</v>
      </c>
      <c r="D110" s="33" t="str">
        <f t="shared" si="9"/>
        <v>No</v>
      </c>
      <c r="E110" s="26">
        <v>50392.97</v>
      </c>
      <c r="F110" s="29">
        <v>86944.31</v>
      </c>
      <c r="G110" s="39" t="s">
        <v>346</v>
      </c>
      <c r="H110" s="7">
        <f t="shared" si="8"/>
        <v>137337.28</v>
      </c>
    </row>
    <row r="111" spans="1:8" x14ac:dyDescent="0.35">
      <c r="A111" s="3" t="s">
        <v>60</v>
      </c>
      <c r="B111" s="16">
        <v>3.2169530493678236E-4</v>
      </c>
      <c r="C111" s="8" t="s">
        <v>141</v>
      </c>
      <c r="D111" s="33" t="str">
        <f t="shared" si="9"/>
        <v>No</v>
      </c>
      <c r="E111" s="26">
        <v>4598.6899999999996</v>
      </c>
      <c r="F111" s="29">
        <v>7934.24</v>
      </c>
      <c r="G111" s="39" t="s">
        <v>346</v>
      </c>
      <c r="H111" s="7">
        <f t="shared" si="8"/>
        <v>12532.93</v>
      </c>
    </row>
    <row r="112" spans="1:8" x14ac:dyDescent="0.35">
      <c r="A112" s="3" t="s">
        <v>22</v>
      </c>
      <c r="B112" s="16">
        <v>2.1422289115943018E-4</v>
      </c>
      <c r="C112" s="8" t="s">
        <v>142</v>
      </c>
      <c r="D112" s="33" t="str">
        <f t="shared" si="9"/>
        <v>No</v>
      </c>
      <c r="E112" s="26">
        <v>3062.35</v>
      </c>
      <c r="F112" s="29">
        <v>5283.56</v>
      </c>
      <c r="G112" s="39" t="s">
        <v>346</v>
      </c>
      <c r="H112" s="7">
        <f t="shared" si="8"/>
        <v>8345.91</v>
      </c>
    </row>
    <row r="113" spans="1:8" x14ac:dyDescent="0.35">
      <c r="A113" s="3" t="s">
        <v>22</v>
      </c>
      <c r="B113" s="16">
        <v>2.8311153863745328E-4</v>
      </c>
      <c r="C113" s="8" t="s">
        <v>143</v>
      </c>
      <c r="D113" s="33" t="str">
        <f t="shared" si="9"/>
        <v>No</v>
      </c>
      <c r="E113" s="26">
        <v>4047.13</v>
      </c>
      <c r="F113" s="29">
        <v>6982.62</v>
      </c>
      <c r="G113" s="39" t="s">
        <v>346</v>
      </c>
      <c r="H113" s="7">
        <f t="shared" si="8"/>
        <v>11029.75</v>
      </c>
    </row>
    <row r="114" spans="1:8" x14ac:dyDescent="0.35">
      <c r="A114" s="3" t="s">
        <v>22</v>
      </c>
      <c r="B114" s="16">
        <v>2.0174925054156607E-4</v>
      </c>
      <c r="C114" s="8" t="s">
        <v>144</v>
      </c>
      <c r="D114" s="33" t="str">
        <f t="shared" si="9"/>
        <v>No</v>
      </c>
      <c r="E114" s="26">
        <v>2884.04</v>
      </c>
      <c r="F114" s="29">
        <v>4975.91</v>
      </c>
      <c r="G114" s="39" t="s">
        <v>346</v>
      </c>
      <c r="H114" s="7">
        <f t="shared" si="8"/>
        <v>7859.95</v>
      </c>
    </row>
    <row r="115" spans="1:8" x14ac:dyDescent="0.35">
      <c r="A115" s="3" t="s">
        <v>60</v>
      </c>
      <c r="B115" s="16">
        <v>3.393032077207899E-4</v>
      </c>
      <c r="C115" s="8" t="s">
        <v>145</v>
      </c>
      <c r="D115" s="33" t="str">
        <f t="shared" si="9"/>
        <v>No</v>
      </c>
      <c r="E115" s="26">
        <v>4850.3999999999996</v>
      </c>
      <c r="F115" s="29">
        <v>8368.52</v>
      </c>
      <c r="G115" s="39" t="s">
        <v>346</v>
      </c>
      <c r="H115" s="7">
        <f t="shared" si="8"/>
        <v>13218.92</v>
      </c>
    </row>
    <row r="116" spans="1:8" x14ac:dyDescent="0.35">
      <c r="A116" s="3" t="s">
        <v>22</v>
      </c>
      <c r="B116" s="16">
        <v>1.0823453984616879E-3</v>
      </c>
      <c r="C116" s="8" t="s">
        <v>146</v>
      </c>
      <c r="D116" s="33" t="str">
        <f t="shared" si="9"/>
        <v>No</v>
      </c>
      <c r="E116" s="26">
        <v>15472.32</v>
      </c>
      <c r="F116" s="29">
        <v>26694.799999999999</v>
      </c>
      <c r="G116" s="39" t="s">
        <v>346</v>
      </c>
      <c r="H116" s="7">
        <f t="shared" si="8"/>
        <v>42167.119999999995</v>
      </c>
    </row>
    <row r="117" spans="1:8" x14ac:dyDescent="0.35">
      <c r="A117" s="3" t="s">
        <v>22</v>
      </c>
      <c r="B117" s="16">
        <v>3.0210647514547408E-4</v>
      </c>
      <c r="C117" s="8" t="s">
        <v>147</v>
      </c>
      <c r="D117" s="33" t="str">
        <f t="shared" si="9"/>
        <v>No</v>
      </c>
      <c r="E117" s="26">
        <v>4318.67</v>
      </c>
      <c r="F117" s="29">
        <v>7451.11</v>
      </c>
      <c r="G117" s="39" t="s">
        <v>346</v>
      </c>
      <c r="H117" s="7">
        <f t="shared" si="8"/>
        <v>11769.779999999999</v>
      </c>
    </row>
    <row r="118" spans="1:8" x14ac:dyDescent="0.35">
      <c r="A118" s="3" t="s">
        <v>75</v>
      </c>
      <c r="B118" s="16">
        <v>1.2420493545600001E-3</v>
      </c>
      <c r="C118" s="8" t="s">
        <v>148</v>
      </c>
      <c r="D118" s="33" t="str">
        <f t="shared" si="9"/>
        <v>No</v>
      </c>
      <c r="E118" s="26">
        <v>17755.32</v>
      </c>
      <c r="F118" s="29">
        <v>30633.72</v>
      </c>
      <c r="G118" s="39" t="s">
        <v>346</v>
      </c>
      <c r="H118" s="7">
        <f t="shared" si="8"/>
        <v>48389.04</v>
      </c>
    </row>
    <row r="119" spans="1:8" x14ac:dyDescent="0.35">
      <c r="A119" s="3" t="s">
        <v>60</v>
      </c>
      <c r="B119" s="16">
        <v>2.9166464367653667E-6</v>
      </c>
      <c r="C119" s="8" t="s">
        <v>149</v>
      </c>
      <c r="D119" s="33" t="str">
        <f t="shared" si="9"/>
        <v>Yes</v>
      </c>
      <c r="E119" s="26">
        <v>41.69</v>
      </c>
      <c r="F119" s="29">
        <v>71.94</v>
      </c>
      <c r="G119" s="39" t="s">
        <v>346</v>
      </c>
      <c r="H119" s="7">
        <f t="shared" si="8"/>
        <v>113.63</v>
      </c>
    </row>
    <row r="120" spans="1:8" x14ac:dyDescent="0.35">
      <c r="A120" s="3" t="s">
        <v>34</v>
      </c>
      <c r="B120" s="16">
        <v>4.3999575718258014E-4</v>
      </c>
      <c r="C120" s="8" t="s">
        <v>150</v>
      </c>
      <c r="D120" s="33" t="str">
        <f t="shared" si="9"/>
        <v>No</v>
      </c>
      <c r="E120" s="26">
        <v>6289.82</v>
      </c>
      <c r="F120" s="29">
        <v>10851.99</v>
      </c>
      <c r="G120" s="39" t="s">
        <v>346</v>
      </c>
      <c r="H120" s="7">
        <f t="shared" si="8"/>
        <v>17141.809999999998</v>
      </c>
    </row>
    <row r="121" spans="1:8" x14ac:dyDescent="0.35">
      <c r="A121" s="3" t="s">
        <v>34</v>
      </c>
      <c r="B121" s="16">
        <v>1.7590962745185068E-4</v>
      </c>
      <c r="C121" s="8" t="s">
        <v>151</v>
      </c>
      <c r="D121" s="33" t="str">
        <f t="shared" si="9"/>
        <v>No</v>
      </c>
      <c r="E121" s="26">
        <v>2514.66</v>
      </c>
      <c r="F121" s="29">
        <v>4338.6099999999997</v>
      </c>
      <c r="G121" s="39" t="s">
        <v>346</v>
      </c>
      <c r="H121" s="7">
        <f t="shared" si="8"/>
        <v>6853.2699999999995</v>
      </c>
    </row>
    <row r="122" spans="1:8" x14ac:dyDescent="0.35">
      <c r="A122" s="3" t="s">
        <v>22</v>
      </c>
      <c r="B122" s="16">
        <v>2.339422737512214E-4</v>
      </c>
      <c r="C122" s="8" t="s">
        <v>152</v>
      </c>
      <c r="D122" s="33" t="str">
        <f t="shared" si="9"/>
        <v>No</v>
      </c>
      <c r="E122" s="26">
        <v>3344.25</v>
      </c>
      <c r="F122" s="29">
        <v>5769.92</v>
      </c>
      <c r="G122" s="39" t="s">
        <v>346</v>
      </c>
      <c r="H122" s="7">
        <f t="shared" si="8"/>
        <v>9114.17</v>
      </c>
    </row>
    <row r="123" spans="1:8" x14ac:dyDescent="0.35">
      <c r="A123" s="3" t="s">
        <v>153</v>
      </c>
      <c r="B123" s="16">
        <v>4.1796783504000007E-3</v>
      </c>
      <c r="C123" s="8" t="s">
        <v>153</v>
      </c>
      <c r="D123" s="33" t="str">
        <f t="shared" si="9"/>
        <v>No</v>
      </c>
      <c r="E123" s="26">
        <v>59749.25</v>
      </c>
      <c r="F123" s="29">
        <v>103086.95</v>
      </c>
      <c r="G123" s="39" t="s">
        <v>346</v>
      </c>
      <c r="H123" s="7">
        <f t="shared" si="8"/>
        <v>162836.20000000001</v>
      </c>
    </row>
    <row r="124" spans="1:8" x14ac:dyDescent="0.35">
      <c r="A124" s="3" t="s">
        <v>24</v>
      </c>
      <c r="B124" s="16">
        <v>1.7432722105140133E-4</v>
      </c>
      <c r="C124" s="8" t="s">
        <v>154</v>
      </c>
      <c r="D124" s="33" t="str">
        <f t="shared" si="9"/>
        <v>No</v>
      </c>
      <c r="E124" s="26">
        <v>2492.04</v>
      </c>
      <c r="F124" s="29">
        <v>4299.58</v>
      </c>
      <c r="G124" s="39" t="s">
        <v>346</v>
      </c>
      <c r="H124" s="7">
        <f t="shared" si="8"/>
        <v>6791.62</v>
      </c>
    </row>
    <row r="125" spans="1:8" x14ac:dyDescent="0.35">
      <c r="A125" s="3" t="s">
        <v>155</v>
      </c>
      <c r="B125" s="16">
        <v>9.8946865237466131E-4</v>
      </c>
      <c r="C125" s="8" t="s">
        <v>156</v>
      </c>
      <c r="D125" s="33" t="str">
        <f t="shared" si="9"/>
        <v>No</v>
      </c>
      <c r="E125" s="26">
        <v>14144.63</v>
      </c>
      <c r="F125" s="29">
        <v>24404.1</v>
      </c>
      <c r="G125" s="39" t="s">
        <v>346</v>
      </c>
      <c r="H125" s="7">
        <f t="shared" si="8"/>
        <v>38548.729999999996</v>
      </c>
    </row>
    <row r="126" spans="1:8" x14ac:dyDescent="0.35">
      <c r="A126" s="3" t="s">
        <v>34</v>
      </c>
      <c r="B126" s="16">
        <v>2.4496551937617135E-5</v>
      </c>
      <c r="C126" s="8" t="s">
        <v>157</v>
      </c>
      <c r="D126" s="33" t="str">
        <f t="shared" si="9"/>
        <v>Yes</v>
      </c>
      <c r="E126" s="26">
        <v>350.18</v>
      </c>
      <c r="F126" s="29">
        <v>604.17999999999995</v>
      </c>
      <c r="G126" s="39" t="s">
        <v>346</v>
      </c>
      <c r="H126" s="7">
        <f t="shared" si="8"/>
        <v>954.3599999999999</v>
      </c>
    </row>
    <row r="127" spans="1:8" x14ac:dyDescent="0.35">
      <c r="A127" s="3" t="s">
        <v>158</v>
      </c>
      <c r="B127" s="16">
        <v>2.4927201566399999E-3</v>
      </c>
      <c r="C127" s="8" t="s">
        <v>158</v>
      </c>
      <c r="D127" s="33" t="str">
        <f t="shared" si="9"/>
        <v>No</v>
      </c>
      <c r="E127" s="26">
        <v>35633.879999999997</v>
      </c>
      <c r="F127" s="29">
        <v>61480.07</v>
      </c>
      <c r="G127" s="39" t="s">
        <v>346</v>
      </c>
      <c r="H127" s="7">
        <f t="shared" si="8"/>
        <v>97113.95</v>
      </c>
    </row>
    <row r="128" spans="1:8" x14ac:dyDescent="0.35">
      <c r="A128" s="3" t="s">
        <v>22</v>
      </c>
      <c r="B128" s="16">
        <v>4.0472692288000007E-4</v>
      </c>
      <c r="C128" s="8" t="s">
        <v>159</v>
      </c>
      <c r="D128" s="33" t="str">
        <f t="shared" si="9"/>
        <v>No</v>
      </c>
      <c r="E128" s="26">
        <v>5785.64</v>
      </c>
      <c r="F128" s="29">
        <v>9982.1200000000008</v>
      </c>
      <c r="G128" s="39" t="s">
        <v>346</v>
      </c>
      <c r="H128" s="7">
        <f t="shared" si="8"/>
        <v>15767.760000000002</v>
      </c>
    </row>
    <row r="129" spans="1:8" x14ac:dyDescent="0.35">
      <c r="A129" s="3" t="s">
        <v>160</v>
      </c>
      <c r="B129" s="16">
        <v>1.7506615174257315E-3</v>
      </c>
      <c r="C129" s="8" t="s">
        <v>160</v>
      </c>
      <c r="D129" s="33" t="str">
        <f t="shared" si="9"/>
        <v>No</v>
      </c>
      <c r="E129" s="26">
        <v>25026.02</v>
      </c>
      <c r="F129" s="29">
        <v>43178.05</v>
      </c>
      <c r="G129" s="39" t="s">
        <v>346</v>
      </c>
      <c r="H129" s="7">
        <f t="shared" si="8"/>
        <v>68204.070000000007</v>
      </c>
    </row>
    <row r="130" spans="1:8" x14ac:dyDescent="0.35">
      <c r="A130" s="3" t="s">
        <v>34</v>
      </c>
      <c r="B130" s="16">
        <v>4.9320093758848142E-4</v>
      </c>
      <c r="C130" s="8" t="s">
        <v>161</v>
      </c>
      <c r="D130" s="33" t="str">
        <f t="shared" si="9"/>
        <v>No</v>
      </c>
      <c r="E130" s="26">
        <v>7050.4</v>
      </c>
      <c r="F130" s="29">
        <v>12164.23</v>
      </c>
      <c r="G130" s="39" t="s">
        <v>346</v>
      </c>
      <c r="H130" s="7">
        <f t="shared" si="8"/>
        <v>19214.629999999997</v>
      </c>
    </row>
    <row r="131" spans="1:8" x14ac:dyDescent="0.35">
      <c r="A131" s="3" t="s">
        <v>90</v>
      </c>
      <c r="B131" s="16">
        <v>2.3910807429600001E-2</v>
      </c>
      <c r="C131" s="8" t="s">
        <v>90</v>
      </c>
      <c r="D131" s="33" t="str">
        <f t="shared" si="9"/>
        <v>No</v>
      </c>
      <c r="E131" s="26">
        <v>341809.26</v>
      </c>
      <c r="F131" s="29">
        <v>589732.5</v>
      </c>
      <c r="G131" s="39" t="s">
        <v>346</v>
      </c>
      <c r="H131" s="7">
        <f t="shared" si="8"/>
        <v>931541.76</v>
      </c>
    </row>
    <row r="132" spans="1:8" x14ac:dyDescent="0.35">
      <c r="A132" s="3" t="s">
        <v>22</v>
      </c>
      <c r="B132" s="16">
        <v>9.9756728509450506E-4</v>
      </c>
      <c r="C132" s="8" t="s">
        <v>162</v>
      </c>
      <c r="D132" s="33" t="str">
        <f t="shared" si="9"/>
        <v>No</v>
      </c>
      <c r="E132" s="26">
        <v>14260.4</v>
      </c>
      <c r="F132" s="29">
        <v>24603.85</v>
      </c>
      <c r="G132" s="39" t="s">
        <v>346</v>
      </c>
      <c r="H132" s="7">
        <f t="shared" si="8"/>
        <v>38864.25</v>
      </c>
    </row>
    <row r="133" spans="1:8" x14ac:dyDescent="0.35">
      <c r="A133" s="3" t="s">
        <v>163</v>
      </c>
      <c r="B133" s="16">
        <v>2.684628549727351E-4</v>
      </c>
      <c r="C133" s="8" t="s">
        <v>164</v>
      </c>
      <c r="D133" s="33" t="str">
        <f t="shared" si="9"/>
        <v>No</v>
      </c>
      <c r="E133" s="26">
        <v>3837.72</v>
      </c>
      <c r="F133" s="29">
        <v>6621.33</v>
      </c>
      <c r="G133" s="39" t="s">
        <v>346</v>
      </c>
      <c r="H133" s="7">
        <f t="shared" ref="H133:H196" si="10">SUM(E133:G133)</f>
        <v>10459.049999999999</v>
      </c>
    </row>
    <row r="134" spans="1:8" x14ac:dyDescent="0.35">
      <c r="A134" s="3" t="s">
        <v>163</v>
      </c>
      <c r="B134" s="16">
        <v>5.4943125126400002E-3</v>
      </c>
      <c r="C134" s="8" t="s">
        <v>163</v>
      </c>
      <c r="D134" s="33" t="str">
        <f t="shared" si="9"/>
        <v>No</v>
      </c>
      <c r="E134" s="26">
        <v>78542.179999999993</v>
      </c>
      <c r="F134" s="29">
        <v>135510.88</v>
      </c>
      <c r="G134" s="39" t="s">
        <v>346</v>
      </c>
      <c r="H134" s="7">
        <f t="shared" si="10"/>
        <v>214053.06</v>
      </c>
    </row>
    <row r="135" spans="1:8" x14ac:dyDescent="0.35">
      <c r="A135" s="3" t="s">
        <v>165</v>
      </c>
      <c r="B135" s="16">
        <v>3.5979730057600005E-3</v>
      </c>
      <c r="C135" s="8" t="s">
        <v>165</v>
      </c>
      <c r="D135" s="33" t="str">
        <f t="shared" si="9"/>
        <v>No</v>
      </c>
      <c r="E135" s="26">
        <v>51433.67</v>
      </c>
      <c r="F135" s="29">
        <v>88739.86</v>
      </c>
      <c r="G135" s="39" t="s">
        <v>346</v>
      </c>
      <c r="H135" s="7">
        <f t="shared" si="10"/>
        <v>140173.53</v>
      </c>
    </row>
    <row r="136" spans="1:8" x14ac:dyDescent="0.35">
      <c r="A136" s="3" t="s">
        <v>166</v>
      </c>
      <c r="B136" s="16">
        <v>1.23477897536E-3</v>
      </c>
      <c r="C136" s="8" t="s">
        <v>166</v>
      </c>
      <c r="D136" s="33" t="str">
        <f t="shared" si="9"/>
        <v>No</v>
      </c>
      <c r="E136" s="26">
        <v>17651.39</v>
      </c>
      <c r="F136" s="29">
        <v>30454.400000000001</v>
      </c>
      <c r="G136" s="39" t="s">
        <v>346</v>
      </c>
      <c r="H136" s="7">
        <f t="shared" si="10"/>
        <v>48105.79</v>
      </c>
    </row>
    <row r="137" spans="1:8" x14ac:dyDescent="0.35">
      <c r="A137" s="3" t="s">
        <v>98</v>
      </c>
      <c r="B137" s="16">
        <v>1.0289042960000001E-4</v>
      </c>
      <c r="C137" s="8" t="s">
        <v>167</v>
      </c>
      <c r="D137" s="33" t="str">
        <f t="shared" si="9"/>
        <v>No</v>
      </c>
      <c r="E137" s="26">
        <v>1470.84</v>
      </c>
      <c r="F137" s="29">
        <v>2537.67</v>
      </c>
      <c r="G137" s="39" t="s">
        <v>346</v>
      </c>
      <c r="H137" s="7">
        <f t="shared" si="10"/>
        <v>4008.51</v>
      </c>
    </row>
    <row r="138" spans="1:8" x14ac:dyDescent="0.35">
      <c r="A138" s="3" t="s">
        <v>168</v>
      </c>
      <c r="B138" s="16">
        <v>6.4066292393600011E-3</v>
      </c>
      <c r="C138" s="8" t="s">
        <v>168</v>
      </c>
      <c r="D138" s="33" t="str">
        <f t="shared" si="9"/>
        <v>No</v>
      </c>
      <c r="E138" s="26">
        <v>91583.91</v>
      </c>
      <c r="F138" s="29">
        <v>158012.13</v>
      </c>
      <c r="G138" s="39" t="s">
        <v>346</v>
      </c>
      <c r="H138" s="7">
        <f t="shared" si="10"/>
        <v>249596.04</v>
      </c>
    </row>
    <row r="139" spans="1:8" x14ac:dyDescent="0.35">
      <c r="A139" s="3" t="s">
        <v>55</v>
      </c>
      <c r="B139" s="16">
        <v>1.9759611312000001E-3</v>
      </c>
      <c r="C139" s="8" t="s">
        <v>169</v>
      </c>
      <c r="D139" s="33" t="str">
        <f t="shared" si="9"/>
        <v>No</v>
      </c>
      <c r="E139" s="26">
        <v>28246.720000000001</v>
      </c>
      <c r="F139" s="29">
        <v>48734.8</v>
      </c>
      <c r="G139" s="39" t="s">
        <v>346</v>
      </c>
      <c r="H139" s="7">
        <f t="shared" si="10"/>
        <v>76981.52</v>
      </c>
    </row>
    <row r="140" spans="1:8" x14ac:dyDescent="0.35">
      <c r="A140" s="3" t="s">
        <v>55</v>
      </c>
      <c r="B140" s="16">
        <v>6.4866012853422349E-3</v>
      </c>
      <c r="C140" s="8" t="s">
        <v>55</v>
      </c>
      <c r="D140" s="33" t="str">
        <f t="shared" si="9"/>
        <v>No</v>
      </c>
      <c r="E140" s="26">
        <v>92727.12</v>
      </c>
      <c r="F140" s="29">
        <v>159984.54</v>
      </c>
      <c r="G140" s="39" t="s">
        <v>346</v>
      </c>
      <c r="H140" s="7">
        <f t="shared" si="10"/>
        <v>252711.66</v>
      </c>
    </row>
    <row r="141" spans="1:8" x14ac:dyDescent="0.35">
      <c r="A141" s="3" t="s">
        <v>83</v>
      </c>
      <c r="B141" s="16">
        <v>3.1086096476003178E-4</v>
      </c>
      <c r="C141" s="8" t="s">
        <v>170</v>
      </c>
      <c r="D141" s="33" t="str">
        <f t="shared" si="9"/>
        <v>No</v>
      </c>
      <c r="E141" s="26">
        <v>4443.8100000000004</v>
      </c>
      <c r="F141" s="29">
        <v>7667.03</v>
      </c>
      <c r="G141" s="39" t="s">
        <v>346</v>
      </c>
      <c r="H141" s="7">
        <f t="shared" si="10"/>
        <v>12110.84</v>
      </c>
    </row>
    <row r="142" spans="1:8" x14ac:dyDescent="0.35">
      <c r="A142" s="3" t="s">
        <v>83</v>
      </c>
      <c r="B142" s="16">
        <v>2.2630631961371855E-3</v>
      </c>
      <c r="C142" s="8" t="s">
        <v>171</v>
      </c>
      <c r="D142" s="33" t="str">
        <f t="shared" si="9"/>
        <v>No</v>
      </c>
      <c r="E142" s="26">
        <v>32350.89</v>
      </c>
      <c r="F142" s="29">
        <v>55815.85</v>
      </c>
      <c r="G142" s="39" t="s">
        <v>346</v>
      </c>
      <c r="H142" s="7">
        <f t="shared" si="10"/>
        <v>88166.739999999991</v>
      </c>
    </row>
    <row r="143" spans="1:8" x14ac:dyDescent="0.35">
      <c r="A143" s="3" t="s">
        <v>83</v>
      </c>
      <c r="B143" s="16">
        <v>2.2227072397600002E-2</v>
      </c>
      <c r="C143" s="8" t="s">
        <v>83</v>
      </c>
      <c r="D143" s="33" t="str">
        <f t="shared" si="9"/>
        <v>No</v>
      </c>
      <c r="E143" s="26">
        <v>317739.96000000002</v>
      </c>
      <c r="F143" s="29">
        <v>548205.12</v>
      </c>
      <c r="G143" s="39" t="s">
        <v>346</v>
      </c>
      <c r="H143" s="7">
        <f t="shared" si="10"/>
        <v>865945.08000000007</v>
      </c>
    </row>
    <row r="144" spans="1:8" x14ac:dyDescent="0.35">
      <c r="A144" s="3" t="s">
        <v>172</v>
      </c>
      <c r="B144" s="16">
        <v>9.8379769212851402E-4</v>
      </c>
      <c r="C144" s="8" t="s">
        <v>172</v>
      </c>
      <c r="D144" s="33" t="str">
        <f t="shared" si="9"/>
        <v>No</v>
      </c>
      <c r="E144" s="26">
        <v>14063.56</v>
      </c>
      <c r="F144" s="29">
        <v>24264.240000000002</v>
      </c>
      <c r="G144" s="39" t="s">
        <v>346</v>
      </c>
      <c r="H144" s="7">
        <f t="shared" si="10"/>
        <v>38327.800000000003</v>
      </c>
    </row>
    <row r="145" spans="1:8" x14ac:dyDescent="0.35">
      <c r="A145" s="3" t="s">
        <v>14</v>
      </c>
      <c r="B145" s="16">
        <v>3.1145250536960004E-2</v>
      </c>
      <c r="C145" s="8" t="s">
        <v>14</v>
      </c>
      <c r="D145" s="33" t="str">
        <f t="shared" si="9"/>
        <v>No</v>
      </c>
      <c r="E145" s="26">
        <v>445226.91</v>
      </c>
      <c r="F145" s="29">
        <v>768161.7</v>
      </c>
      <c r="G145" s="39" t="s">
        <v>346</v>
      </c>
      <c r="H145" s="7">
        <f t="shared" si="10"/>
        <v>1213388.6099999999</v>
      </c>
    </row>
    <row r="146" spans="1:8" x14ac:dyDescent="0.35">
      <c r="A146" s="3" t="s">
        <v>14</v>
      </c>
      <c r="B146" s="16">
        <v>8.5048985958722254E-4</v>
      </c>
      <c r="C146" s="8" t="s">
        <v>173</v>
      </c>
      <c r="D146" s="33" t="str">
        <f t="shared" si="9"/>
        <v>No</v>
      </c>
      <c r="E146" s="26">
        <v>12157.9</v>
      </c>
      <c r="F146" s="29">
        <v>20976.35</v>
      </c>
      <c r="G146" s="39" t="s">
        <v>346</v>
      </c>
      <c r="H146" s="7">
        <f t="shared" si="10"/>
        <v>33134.25</v>
      </c>
    </row>
    <row r="147" spans="1:8" x14ac:dyDescent="0.35">
      <c r="A147" s="3" t="s">
        <v>174</v>
      </c>
      <c r="B147" s="16">
        <v>4.0439910399508605E-5</v>
      </c>
      <c r="C147" s="8" t="s">
        <v>174</v>
      </c>
      <c r="D147" s="33" t="str">
        <f t="shared" si="9"/>
        <v>Yes</v>
      </c>
      <c r="E147" s="26">
        <v>578.1</v>
      </c>
      <c r="F147" s="29">
        <v>997.4</v>
      </c>
      <c r="G147" s="39" t="s">
        <v>346</v>
      </c>
      <c r="H147" s="7">
        <f t="shared" si="10"/>
        <v>1575.5</v>
      </c>
    </row>
    <row r="148" spans="1:8" x14ac:dyDescent="0.35">
      <c r="A148" s="3" t="s">
        <v>175</v>
      </c>
      <c r="B148" s="16">
        <v>8.157508475200001E-4</v>
      </c>
      <c r="C148" s="8" t="s">
        <v>175</v>
      </c>
      <c r="D148" s="33" t="str">
        <f t="shared" si="9"/>
        <v>No</v>
      </c>
      <c r="E148" s="26">
        <v>11661.3</v>
      </c>
      <c r="F148" s="29">
        <v>20119.55</v>
      </c>
      <c r="G148" s="39" t="s">
        <v>346</v>
      </c>
      <c r="H148" s="7">
        <f t="shared" si="10"/>
        <v>31780.85</v>
      </c>
    </row>
    <row r="149" spans="1:8" x14ac:dyDescent="0.35">
      <c r="A149" s="3" t="s">
        <v>176</v>
      </c>
      <c r="B149" s="16">
        <v>5.9449414360000005E-3</v>
      </c>
      <c r="C149" s="8" t="s">
        <v>177</v>
      </c>
      <c r="D149" s="33" t="str">
        <f t="shared" si="9"/>
        <v>No</v>
      </c>
      <c r="E149" s="26">
        <v>84984</v>
      </c>
      <c r="F149" s="29">
        <v>146625.13</v>
      </c>
      <c r="G149" s="39" t="s">
        <v>346</v>
      </c>
      <c r="H149" s="7">
        <f t="shared" si="10"/>
        <v>231609.13</v>
      </c>
    </row>
    <row r="150" spans="1:8" x14ac:dyDescent="0.35">
      <c r="A150" s="3" t="s">
        <v>178</v>
      </c>
      <c r="B150" s="16">
        <v>4.7307352990073126E-3</v>
      </c>
      <c r="C150" s="8" t="s">
        <v>178</v>
      </c>
      <c r="D150" s="33" t="str">
        <f t="shared" si="9"/>
        <v>No</v>
      </c>
      <c r="E150" s="26">
        <v>67626.7</v>
      </c>
      <c r="F150" s="29">
        <v>116678.13</v>
      </c>
      <c r="G150" s="39" t="s">
        <v>346</v>
      </c>
      <c r="H150" s="7">
        <f t="shared" si="10"/>
        <v>184304.83000000002</v>
      </c>
    </row>
    <row r="151" spans="1:8" x14ac:dyDescent="0.35">
      <c r="A151" s="3" t="s">
        <v>179</v>
      </c>
      <c r="B151" s="16">
        <v>1.38586949984E-3</v>
      </c>
      <c r="C151" s="8" t="s">
        <v>179</v>
      </c>
      <c r="D151" s="33" t="str">
        <f t="shared" si="9"/>
        <v>No</v>
      </c>
      <c r="E151" s="26">
        <v>19811.25</v>
      </c>
      <c r="F151" s="29">
        <v>34180.870000000003</v>
      </c>
      <c r="G151" s="39" t="s">
        <v>346</v>
      </c>
      <c r="H151" s="7">
        <f t="shared" si="10"/>
        <v>53992.12</v>
      </c>
    </row>
    <row r="152" spans="1:8" x14ac:dyDescent="0.35">
      <c r="A152" s="3" t="s">
        <v>16</v>
      </c>
      <c r="B152" s="16">
        <v>8.8237929539200007E-3</v>
      </c>
      <c r="C152" s="8" t="s">
        <v>16</v>
      </c>
      <c r="D152" s="33" t="str">
        <f t="shared" si="9"/>
        <v>No</v>
      </c>
      <c r="E152" s="26">
        <v>126137.69</v>
      </c>
      <c r="F152" s="29">
        <v>217628.68</v>
      </c>
      <c r="G152" s="39" t="s">
        <v>346</v>
      </c>
      <c r="H152" s="7">
        <f t="shared" si="10"/>
        <v>343766.37</v>
      </c>
    </row>
    <row r="153" spans="1:8" x14ac:dyDescent="0.35">
      <c r="A153" s="3" t="s">
        <v>75</v>
      </c>
      <c r="B153" s="16">
        <v>6.68759179371164E-5</v>
      </c>
      <c r="C153" s="8" t="s">
        <v>180</v>
      </c>
      <c r="D153" s="8" t="s">
        <v>338</v>
      </c>
      <c r="E153" s="26">
        <v>0</v>
      </c>
      <c r="F153" s="29">
        <v>0</v>
      </c>
      <c r="G153" s="39" t="s">
        <v>346</v>
      </c>
      <c r="H153" s="7">
        <f t="shared" si="10"/>
        <v>0</v>
      </c>
    </row>
    <row r="154" spans="1:8" x14ac:dyDescent="0.35">
      <c r="A154" s="3" t="s">
        <v>55</v>
      </c>
      <c r="B154" s="16">
        <v>5.4332409981697403E-5</v>
      </c>
      <c r="C154" s="8" t="s">
        <v>181</v>
      </c>
      <c r="D154" s="33" t="str">
        <f t="shared" ref="D154:D177" si="11">IF(B154&lt;0.000083,"Yes","No")</f>
        <v>Yes</v>
      </c>
      <c r="E154" s="26">
        <v>776.69</v>
      </c>
      <c r="F154" s="29">
        <v>1340.05</v>
      </c>
      <c r="G154" s="39" t="s">
        <v>346</v>
      </c>
      <c r="H154" s="7">
        <f t="shared" si="10"/>
        <v>2116.7399999999998</v>
      </c>
    </row>
    <row r="155" spans="1:8" x14ac:dyDescent="0.35">
      <c r="A155" s="3" t="s">
        <v>47</v>
      </c>
      <c r="B155" s="16">
        <v>1.0664953412549122E-4</v>
      </c>
      <c r="C155" s="8" t="s">
        <v>182</v>
      </c>
      <c r="D155" s="33" t="str">
        <f t="shared" si="11"/>
        <v>No</v>
      </c>
      <c r="E155" s="26">
        <v>1524.57</v>
      </c>
      <c r="F155" s="29">
        <v>2630.39</v>
      </c>
      <c r="G155" s="39" t="s">
        <v>346</v>
      </c>
      <c r="H155" s="7">
        <f t="shared" si="10"/>
        <v>4154.96</v>
      </c>
    </row>
    <row r="156" spans="1:8" x14ac:dyDescent="0.35">
      <c r="A156" s="3" t="s">
        <v>22</v>
      </c>
      <c r="B156" s="16">
        <v>9.4938127254031108E-4</v>
      </c>
      <c r="C156" s="8" t="s">
        <v>183</v>
      </c>
      <c r="D156" s="33" t="str">
        <f t="shared" si="11"/>
        <v>No</v>
      </c>
      <c r="E156" s="26">
        <v>13571.57</v>
      </c>
      <c r="F156" s="29">
        <v>23415.39</v>
      </c>
      <c r="G156" s="39" t="s">
        <v>346</v>
      </c>
      <c r="H156" s="7">
        <f t="shared" si="10"/>
        <v>36986.959999999999</v>
      </c>
    </row>
    <row r="157" spans="1:8" x14ac:dyDescent="0.35">
      <c r="A157" s="3" t="s">
        <v>60</v>
      </c>
      <c r="B157" s="16">
        <v>1.4976536817760001E-2</v>
      </c>
      <c r="C157" s="8" t="s">
        <v>60</v>
      </c>
      <c r="D157" s="33" t="str">
        <f t="shared" si="11"/>
        <v>No</v>
      </c>
      <c r="E157" s="26">
        <v>214092.27</v>
      </c>
      <c r="F157" s="29">
        <v>369379.02</v>
      </c>
      <c r="G157" s="39" t="s">
        <v>346</v>
      </c>
      <c r="H157" s="7">
        <f t="shared" si="10"/>
        <v>583471.29</v>
      </c>
    </row>
    <row r="158" spans="1:8" x14ac:dyDescent="0.35">
      <c r="A158" s="3" t="s">
        <v>22</v>
      </c>
      <c r="B158" s="16">
        <v>4.4797409664000002E-3</v>
      </c>
      <c r="C158" s="8" t="s">
        <v>184</v>
      </c>
      <c r="D158" s="33" t="str">
        <f t="shared" si="11"/>
        <v>No</v>
      </c>
      <c r="E158" s="26">
        <v>64038.7</v>
      </c>
      <c r="F158" s="29">
        <v>110487.65</v>
      </c>
      <c r="G158" s="39" t="s">
        <v>346</v>
      </c>
      <c r="H158" s="7">
        <f t="shared" si="10"/>
        <v>174526.34999999998</v>
      </c>
    </row>
    <row r="159" spans="1:8" x14ac:dyDescent="0.35">
      <c r="A159" s="3" t="s">
        <v>185</v>
      </c>
      <c r="B159" s="16">
        <v>7.1513735216000008E-4</v>
      </c>
      <c r="C159" s="8" t="s">
        <v>185</v>
      </c>
      <c r="D159" s="33" t="str">
        <f t="shared" si="11"/>
        <v>No</v>
      </c>
      <c r="E159" s="26">
        <v>10223.02</v>
      </c>
      <c r="F159" s="29">
        <v>17638.04</v>
      </c>
      <c r="G159" s="39" t="s">
        <v>346</v>
      </c>
      <c r="H159" s="7">
        <f t="shared" si="10"/>
        <v>27861.06</v>
      </c>
    </row>
    <row r="160" spans="1:8" x14ac:dyDescent="0.35">
      <c r="A160" s="3" t="s">
        <v>34</v>
      </c>
      <c r="B160" s="16">
        <v>3.6024341155030474E-5</v>
      </c>
      <c r="C160" s="8" t="s">
        <v>186</v>
      </c>
      <c r="D160" s="33" t="str">
        <f t="shared" si="11"/>
        <v>Yes</v>
      </c>
      <c r="E160" s="26">
        <v>514.97</v>
      </c>
      <c r="F160" s="29">
        <v>888.5</v>
      </c>
      <c r="G160" s="39" t="s">
        <v>346</v>
      </c>
      <c r="H160" s="7">
        <f t="shared" si="10"/>
        <v>1403.47</v>
      </c>
    </row>
    <row r="161" spans="1:8" x14ac:dyDescent="0.35">
      <c r="A161" s="3" t="s">
        <v>187</v>
      </c>
      <c r="B161" s="16">
        <v>5.4349003265225979E-4</v>
      </c>
      <c r="C161" s="8" t="s">
        <v>187</v>
      </c>
      <c r="D161" s="33" t="str">
        <f t="shared" si="11"/>
        <v>No</v>
      </c>
      <c r="E161" s="26">
        <v>7769.29</v>
      </c>
      <c r="F161" s="29">
        <v>13404.56</v>
      </c>
      <c r="G161" s="39" t="s">
        <v>346</v>
      </c>
      <c r="H161" s="7">
        <f t="shared" si="10"/>
        <v>21173.85</v>
      </c>
    </row>
    <row r="162" spans="1:8" x14ac:dyDescent="0.35">
      <c r="A162" s="3" t="s">
        <v>75</v>
      </c>
      <c r="B162" s="16">
        <v>8.6511046550880003E-2</v>
      </c>
      <c r="C162" s="8" t="s">
        <v>75</v>
      </c>
      <c r="D162" s="33" t="str">
        <f t="shared" si="11"/>
        <v>No</v>
      </c>
      <c r="E162" s="26">
        <v>1237646.8400000001</v>
      </c>
      <c r="F162" s="29">
        <v>2135344.66</v>
      </c>
      <c r="G162" s="39" t="s">
        <v>346</v>
      </c>
      <c r="H162" s="7">
        <f t="shared" si="10"/>
        <v>3372991.5</v>
      </c>
    </row>
    <row r="163" spans="1:8" x14ac:dyDescent="0.35">
      <c r="A163" s="3" t="s">
        <v>75</v>
      </c>
      <c r="B163" s="16">
        <v>6.4650348945139346E-4</v>
      </c>
      <c r="C163" s="8" t="s">
        <v>188</v>
      </c>
      <c r="D163" s="33" t="str">
        <f t="shared" si="11"/>
        <v>No</v>
      </c>
      <c r="E163" s="26">
        <v>9241.8799999999992</v>
      </c>
      <c r="F163" s="29">
        <v>15945.26</v>
      </c>
      <c r="G163" s="39" t="s">
        <v>346</v>
      </c>
      <c r="H163" s="7">
        <f t="shared" si="10"/>
        <v>25187.14</v>
      </c>
    </row>
    <row r="164" spans="1:8" x14ac:dyDescent="0.35">
      <c r="A164" s="3" t="s">
        <v>34</v>
      </c>
      <c r="B164" s="16">
        <v>8.6236729860592748E-4</v>
      </c>
      <c r="C164" s="8" t="s">
        <v>189</v>
      </c>
      <c r="D164" s="33" t="str">
        <f t="shared" si="11"/>
        <v>No</v>
      </c>
      <c r="E164" s="26">
        <v>12327.69</v>
      </c>
      <c r="F164" s="29">
        <v>21269.3</v>
      </c>
      <c r="G164" s="39" t="s">
        <v>346</v>
      </c>
      <c r="H164" s="7">
        <f t="shared" si="10"/>
        <v>33596.99</v>
      </c>
    </row>
    <row r="165" spans="1:8" x14ac:dyDescent="0.35">
      <c r="A165" s="3" t="s">
        <v>190</v>
      </c>
      <c r="B165" s="16">
        <v>3.4954682537600003E-3</v>
      </c>
      <c r="C165" s="8" t="s">
        <v>190</v>
      </c>
      <c r="D165" s="33" t="str">
        <f t="shared" si="11"/>
        <v>No</v>
      </c>
      <c r="E165" s="26">
        <v>49968.34</v>
      </c>
      <c r="F165" s="29">
        <v>86211.7</v>
      </c>
      <c r="G165" s="39" t="s">
        <v>346</v>
      </c>
      <c r="H165" s="7">
        <f t="shared" si="10"/>
        <v>136180.03999999998</v>
      </c>
    </row>
    <row r="166" spans="1:8" x14ac:dyDescent="0.35">
      <c r="A166" s="3" t="s">
        <v>60</v>
      </c>
      <c r="B166" s="16">
        <v>1.1882634073892149E-6</v>
      </c>
      <c r="C166" s="8" t="s">
        <v>191</v>
      </c>
      <c r="D166" s="33" t="str">
        <f t="shared" si="11"/>
        <v>Yes</v>
      </c>
      <c r="E166" s="26">
        <v>16.989999999999998</v>
      </c>
      <c r="F166" s="29">
        <v>29.31</v>
      </c>
      <c r="G166" s="39" t="s">
        <v>346</v>
      </c>
      <c r="H166" s="7">
        <f t="shared" si="10"/>
        <v>46.3</v>
      </c>
    </row>
    <row r="167" spans="1:8" x14ac:dyDescent="0.35">
      <c r="A167" s="3" t="s">
        <v>192</v>
      </c>
      <c r="B167" s="16">
        <v>1.8731634511339281E-4</v>
      </c>
      <c r="C167" s="8" t="s">
        <v>193</v>
      </c>
      <c r="D167" s="33" t="str">
        <f t="shared" si="11"/>
        <v>No</v>
      </c>
      <c r="E167" s="26">
        <v>2677.72</v>
      </c>
      <c r="F167" s="29">
        <v>4619.9399999999996</v>
      </c>
      <c r="G167" s="39" t="s">
        <v>346</v>
      </c>
      <c r="H167" s="7">
        <f t="shared" si="10"/>
        <v>7297.66</v>
      </c>
    </row>
    <row r="168" spans="1:8" x14ac:dyDescent="0.35">
      <c r="A168" s="3" t="s">
        <v>192</v>
      </c>
      <c r="B168" s="16">
        <v>6.0352741926400005E-3</v>
      </c>
      <c r="C168" s="8" t="s">
        <v>192</v>
      </c>
      <c r="D168" s="33" t="str">
        <f t="shared" si="11"/>
        <v>No</v>
      </c>
      <c r="E168" s="26">
        <v>86275.32</v>
      </c>
      <c r="F168" s="29">
        <v>148853.07999999999</v>
      </c>
      <c r="G168" s="39" t="s">
        <v>346</v>
      </c>
      <c r="H168" s="7">
        <f t="shared" si="10"/>
        <v>235128.4</v>
      </c>
    </row>
    <row r="169" spans="1:8" x14ac:dyDescent="0.35">
      <c r="A169" s="3" t="s">
        <v>194</v>
      </c>
      <c r="B169" s="16">
        <v>2.7857703115200002E-3</v>
      </c>
      <c r="C169" s="8" t="s">
        <v>194</v>
      </c>
      <c r="D169" s="33" t="str">
        <f t="shared" si="11"/>
        <v>No</v>
      </c>
      <c r="E169" s="26">
        <v>39823.08</v>
      </c>
      <c r="F169" s="29">
        <v>68707.81</v>
      </c>
      <c r="G169" s="39" t="s">
        <v>346</v>
      </c>
      <c r="H169" s="7">
        <f t="shared" si="10"/>
        <v>108530.89</v>
      </c>
    </row>
    <row r="170" spans="1:8" x14ac:dyDescent="0.35">
      <c r="A170" s="3" t="s">
        <v>52</v>
      </c>
      <c r="B170" s="16">
        <v>1.9846587479771158E-3</v>
      </c>
      <c r="C170" s="8" t="s">
        <v>52</v>
      </c>
      <c r="D170" s="33" t="str">
        <f t="shared" si="11"/>
        <v>No</v>
      </c>
      <c r="E170" s="26">
        <v>28371.05</v>
      </c>
      <c r="F170" s="29">
        <v>48949.32</v>
      </c>
      <c r="G170" s="39" t="s">
        <v>346</v>
      </c>
      <c r="H170" s="7">
        <f t="shared" si="10"/>
        <v>77320.37</v>
      </c>
    </row>
    <row r="171" spans="1:8" x14ac:dyDescent="0.35">
      <c r="A171" s="3" t="s">
        <v>22</v>
      </c>
      <c r="B171" s="16">
        <v>3.1054294121660652E-4</v>
      </c>
      <c r="C171" s="8" t="s">
        <v>195</v>
      </c>
      <c r="D171" s="33" t="str">
        <f t="shared" si="11"/>
        <v>No</v>
      </c>
      <c r="E171" s="26">
        <v>4439.2700000000004</v>
      </c>
      <c r="F171" s="29">
        <v>7659.18</v>
      </c>
      <c r="G171" s="39" t="s">
        <v>346</v>
      </c>
      <c r="H171" s="7">
        <f t="shared" si="10"/>
        <v>12098.45</v>
      </c>
    </row>
    <row r="172" spans="1:8" x14ac:dyDescent="0.35">
      <c r="A172" s="3" t="s">
        <v>196</v>
      </c>
      <c r="B172" s="16">
        <v>9.4422835263283285E-4</v>
      </c>
      <c r="C172" s="8" t="s">
        <v>196</v>
      </c>
      <c r="D172" s="33" t="str">
        <f t="shared" si="11"/>
        <v>No</v>
      </c>
      <c r="E172" s="26">
        <v>13497.91</v>
      </c>
      <c r="F172" s="29">
        <v>23288.3</v>
      </c>
      <c r="G172" s="39" t="s">
        <v>346</v>
      </c>
      <c r="H172" s="7">
        <f t="shared" si="10"/>
        <v>36786.21</v>
      </c>
    </row>
    <row r="173" spans="1:8" x14ac:dyDescent="0.35">
      <c r="A173" s="3" t="s">
        <v>90</v>
      </c>
      <c r="B173" s="16">
        <v>4.2307814899981359E-4</v>
      </c>
      <c r="C173" s="8" t="s">
        <v>197</v>
      </c>
      <c r="D173" s="33" t="str">
        <f t="shared" si="11"/>
        <v>No</v>
      </c>
      <c r="E173" s="26">
        <v>6047.98</v>
      </c>
      <c r="F173" s="29">
        <v>10434.73</v>
      </c>
      <c r="G173" s="39" t="s">
        <v>346</v>
      </c>
      <c r="H173" s="7">
        <f t="shared" si="10"/>
        <v>16482.71</v>
      </c>
    </row>
    <row r="174" spans="1:8" x14ac:dyDescent="0.35">
      <c r="A174" s="3" t="s">
        <v>198</v>
      </c>
      <c r="B174" s="16">
        <v>1.8064208801171536E-3</v>
      </c>
      <c r="C174" s="8" t="s">
        <v>199</v>
      </c>
      <c r="D174" s="33" t="str">
        <f t="shared" si="11"/>
        <v>No</v>
      </c>
      <c r="E174" s="26">
        <v>25823.11</v>
      </c>
      <c r="F174" s="29">
        <v>44553.29</v>
      </c>
      <c r="G174" s="39" t="s">
        <v>346</v>
      </c>
      <c r="H174" s="7">
        <f t="shared" si="10"/>
        <v>70376.399999999994</v>
      </c>
    </row>
    <row r="175" spans="1:8" x14ac:dyDescent="0.35">
      <c r="A175" s="3" t="s">
        <v>200</v>
      </c>
      <c r="B175" s="16">
        <v>3.2176018624034916E-3</v>
      </c>
      <c r="C175" s="8" t="s">
        <v>200</v>
      </c>
      <c r="D175" s="33" t="str">
        <f t="shared" si="11"/>
        <v>No</v>
      </c>
      <c r="E175" s="26">
        <v>45996.19</v>
      </c>
      <c r="F175" s="29">
        <v>79358.44</v>
      </c>
      <c r="G175" s="39" t="s">
        <v>346</v>
      </c>
      <c r="H175" s="7">
        <f t="shared" si="10"/>
        <v>125354.63</v>
      </c>
    </row>
    <row r="176" spans="1:8" x14ac:dyDescent="0.35">
      <c r="A176" s="3" t="s">
        <v>34</v>
      </c>
      <c r="B176" s="16">
        <v>3.840748936462473E-5</v>
      </c>
      <c r="C176" s="8" t="s">
        <v>201</v>
      </c>
      <c r="D176" s="33" t="str">
        <f t="shared" si="11"/>
        <v>Yes</v>
      </c>
      <c r="E176" s="26">
        <v>549.04</v>
      </c>
      <c r="F176" s="29">
        <v>947.28</v>
      </c>
      <c r="G176" s="39" t="s">
        <v>346</v>
      </c>
      <c r="H176" s="7">
        <f t="shared" si="10"/>
        <v>1496.32</v>
      </c>
    </row>
    <row r="177" spans="1:8" x14ac:dyDescent="0.35">
      <c r="A177" s="3" t="s">
        <v>202</v>
      </c>
      <c r="B177" s="16">
        <v>5.9922724256234404E-4</v>
      </c>
      <c r="C177" s="8" t="s">
        <v>202</v>
      </c>
      <c r="D177" s="33" t="str">
        <f t="shared" si="11"/>
        <v>No</v>
      </c>
      <c r="E177" s="26">
        <v>8566.06</v>
      </c>
      <c r="F177" s="29">
        <v>14779.25</v>
      </c>
      <c r="G177" s="39" t="s">
        <v>346</v>
      </c>
      <c r="H177" s="7">
        <f t="shared" si="10"/>
        <v>23345.309999999998</v>
      </c>
    </row>
    <row r="178" spans="1:8" x14ac:dyDescent="0.35">
      <c r="A178" s="3" t="s">
        <v>36</v>
      </c>
      <c r="B178" s="16">
        <v>2.6396387324336113E-5</v>
      </c>
      <c r="C178" s="8" t="s">
        <v>203</v>
      </c>
      <c r="D178" s="8" t="s">
        <v>338</v>
      </c>
      <c r="E178" s="26">
        <v>0</v>
      </c>
      <c r="F178" s="29">
        <v>0</v>
      </c>
      <c r="G178" s="39" t="s">
        <v>346</v>
      </c>
      <c r="H178" s="7">
        <f t="shared" si="10"/>
        <v>0</v>
      </c>
    </row>
    <row r="179" spans="1:8" x14ac:dyDescent="0.35">
      <c r="A179" s="3" t="s">
        <v>45</v>
      </c>
      <c r="B179" s="16">
        <v>7.1543601524750355E-5</v>
      </c>
      <c r="C179" s="8" t="s">
        <v>204</v>
      </c>
      <c r="D179" s="33" t="str">
        <f t="shared" ref="D179:D242" si="12">IF(B179&lt;0.000083,"Yes","No")</f>
        <v>Yes</v>
      </c>
      <c r="E179" s="26">
        <v>1022.73</v>
      </c>
      <c r="F179" s="29">
        <v>1764.54</v>
      </c>
      <c r="G179" s="39" t="s">
        <v>346</v>
      </c>
      <c r="H179" s="7">
        <f t="shared" si="10"/>
        <v>2787.27</v>
      </c>
    </row>
    <row r="180" spans="1:8" x14ac:dyDescent="0.35">
      <c r="A180" s="3" t="s">
        <v>45</v>
      </c>
      <c r="B180" s="16">
        <v>1.256002277532938E-3</v>
      </c>
      <c r="C180" s="8" t="s">
        <v>205</v>
      </c>
      <c r="D180" s="33" t="str">
        <f t="shared" si="12"/>
        <v>No</v>
      </c>
      <c r="E180" s="26">
        <v>17954.78</v>
      </c>
      <c r="F180" s="29">
        <v>30977.85</v>
      </c>
      <c r="G180" s="39" t="s">
        <v>346</v>
      </c>
      <c r="H180" s="7">
        <f t="shared" si="10"/>
        <v>48932.63</v>
      </c>
    </row>
    <row r="181" spans="1:8" x14ac:dyDescent="0.35">
      <c r="A181" s="3" t="s">
        <v>45</v>
      </c>
      <c r="B181" s="16">
        <v>1.7154393930240004E-2</v>
      </c>
      <c r="C181" s="8" t="s">
        <v>45</v>
      </c>
      <c r="D181" s="33" t="str">
        <f t="shared" si="12"/>
        <v>No</v>
      </c>
      <c r="E181" s="26">
        <v>245225.12</v>
      </c>
      <c r="F181" s="29">
        <v>423093.35</v>
      </c>
      <c r="G181" s="39" t="s">
        <v>346</v>
      </c>
      <c r="H181" s="7">
        <f t="shared" si="10"/>
        <v>668318.47</v>
      </c>
    </row>
    <row r="182" spans="1:8" x14ac:dyDescent="0.35">
      <c r="A182" s="3" t="s">
        <v>206</v>
      </c>
      <c r="B182" s="16">
        <v>6.9578341280000008E-3</v>
      </c>
      <c r="C182" s="8" t="s">
        <v>206</v>
      </c>
      <c r="D182" s="33" t="str">
        <f t="shared" si="12"/>
        <v>No</v>
      </c>
      <c r="E182" s="26">
        <v>99463.48</v>
      </c>
      <c r="F182" s="29">
        <v>171606.96</v>
      </c>
      <c r="G182" s="39" t="s">
        <v>346</v>
      </c>
      <c r="H182" s="7">
        <f t="shared" si="10"/>
        <v>271070.44</v>
      </c>
    </row>
    <row r="183" spans="1:8" x14ac:dyDescent="0.35">
      <c r="A183" s="3" t="s">
        <v>207</v>
      </c>
      <c r="B183" s="16">
        <v>9.8584816064000011E-4</v>
      </c>
      <c r="C183" s="8" t="s">
        <v>207</v>
      </c>
      <c r="D183" s="33" t="str">
        <f t="shared" si="12"/>
        <v>No</v>
      </c>
      <c r="E183" s="26">
        <v>14092.88</v>
      </c>
      <c r="F183" s="29">
        <v>24314.81</v>
      </c>
      <c r="G183" s="39" t="s">
        <v>346</v>
      </c>
      <c r="H183" s="7">
        <f t="shared" si="10"/>
        <v>38407.69</v>
      </c>
    </row>
    <row r="184" spans="1:8" x14ac:dyDescent="0.35">
      <c r="A184" s="3" t="s">
        <v>75</v>
      </c>
      <c r="B184" s="16">
        <v>3.0056747918547061E-4</v>
      </c>
      <c r="C184" s="8" t="s">
        <v>208</v>
      </c>
      <c r="D184" s="33" t="str">
        <f t="shared" si="12"/>
        <v>No</v>
      </c>
      <c r="E184" s="26">
        <v>4296.67</v>
      </c>
      <c r="F184" s="29">
        <v>7413.15</v>
      </c>
      <c r="G184" s="39" t="s">
        <v>346</v>
      </c>
      <c r="H184" s="7">
        <f t="shared" si="10"/>
        <v>11709.82</v>
      </c>
    </row>
    <row r="185" spans="1:8" x14ac:dyDescent="0.35">
      <c r="A185" s="3" t="s">
        <v>63</v>
      </c>
      <c r="B185" s="16">
        <v>1.4878159422548442E-4</v>
      </c>
      <c r="C185" s="8" t="s">
        <v>209</v>
      </c>
      <c r="D185" s="33" t="str">
        <f t="shared" si="12"/>
        <v>No</v>
      </c>
      <c r="E185" s="26">
        <v>2126.86</v>
      </c>
      <c r="F185" s="29">
        <v>3669.53</v>
      </c>
      <c r="G185" s="39" t="s">
        <v>346</v>
      </c>
      <c r="H185" s="7">
        <f t="shared" si="10"/>
        <v>5796.39</v>
      </c>
    </row>
    <row r="186" spans="1:8" x14ac:dyDescent="0.35">
      <c r="A186" s="3" t="s">
        <v>168</v>
      </c>
      <c r="B186" s="16">
        <v>2.1378856446827648E-4</v>
      </c>
      <c r="C186" s="8" t="s">
        <v>210</v>
      </c>
      <c r="D186" s="33" t="str">
        <f t="shared" si="12"/>
        <v>No</v>
      </c>
      <c r="E186" s="26">
        <v>3056.15</v>
      </c>
      <c r="F186" s="29">
        <v>5272.85</v>
      </c>
      <c r="G186" s="39" t="s">
        <v>346</v>
      </c>
      <c r="H186" s="7">
        <f t="shared" si="10"/>
        <v>8329</v>
      </c>
    </row>
    <row r="187" spans="1:8" x14ac:dyDescent="0.35">
      <c r="A187" s="3" t="s">
        <v>63</v>
      </c>
      <c r="B187" s="16">
        <v>9.0106553717547258E-5</v>
      </c>
      <c r="C187" s="8" t="s">
        <v>211</v>
      </c>
      <c r="D187" s="33" t="str">
        <f t="shared" si="12"/>
        <v>No</v>
      </c>
      <c r="E187" s="26">
        <v>1288.0899999999999</v>
      </c>
      <c r="F187" s="29">
        <v>2222.37</v>
      </c>
      <c r="G187" s="39" t="s">
        <v>346</v>
      </c>
      <c r="H187" s="7">
        <f t="shared" si="10"/>
        <v>3510.46</v>
      </c>
    </row>
    <row r="188" spans="1:8" x14ac:dyDescent="0.35">
      <c r="A188" s="3" t="s">
        <v>105</v>
      </c>
      <c r="B188" s="16">
        <v>2.1563493333176328E-4</v>
      </c>
      <c r="C188" s="8" t="s">
        <v>212</v>
      </c>
      <c r="D188" s="33" t="str">
        <f t="shared" si="12"/>
        <v>No</v>
      </c>
      <c r="E188" s="26">
        <v>3082.54</v>
      </c>
      <c r="F188" s="29">
        <v>5318.39</v>
      </c>
      <c r="G188" s="39" t="s">
        <v>346</v>
      </c>
      <c r="H188" s="7">
        <f t="shared" si="10"/>
        <v>8400.93</v>
      </c>
    </row>
    <row r="189" spans="1:8" x14ac:dyDescent="0.35">
      <c r="A189" s="3" t="s">
        <v>105</v>
      </c>
      <c r="B189" s="16">
        <v>1.0446192327570199E-3</v>
      </c>
      <c r="C189" s="8" t="s">
        <v>213</v>
      </c>
      <c r="D189" s="33" t="str">
        <f t="shared" si="12"/>
        <v>No</v>
      </c>
      <c r="E189" s="26">
        <v>14933.02</v>
      </c>
      <c r="F189" s="29">
        <v>25764.33</v>
      </c>
      <c r="G189" s="39" t="s">
        <v>346</v>
      </c>
      <c r="H189" s="7">
        <f t="shared" si="10"/>
        <v>40697.350000000006</v>
      </c>
    </row>
    <row r="190" spans="1:8" x14ac:dyDescent="0.35">
      <c r="A190" s="3" t="s">
        <v>105</v>
      </c>
      <c r="B190" s="16">
        <v>1.9100374032320001E-2</v>
      </c>
      <c r="C190" s="8" t="s">
        <v>105</v>
      </c>
      <c r="D190" s="33" t="str">
        <f t="shared" si="12"/>
        <v>No</v>
      </c>
      <c r="E190" s="26">
        <v>273043.25</v>
      </c>
      <c r="F190" s="29">
        <v>471088.71</v>
      </c>
      <c r="G190" s="39" t="s">
        <v>346</v>
      </c>
      <c r="H190" s="7">
        <f t="shared" si="10"/>
        <v>744131.96</v>
      </c>
    </row>
    <row r="191" spans="1:8" x14ac:dyDescent="0.35">
      <c r="A191" s="3" t="s">
        <v>105</v>
      </c>
      <c r="B191" s="16">
        <v>2.9904211561436055E-4</v>
      </c>
      <c r="C191" s="8" t="s">
        <v>214</v>
      </c>
      <c r="D191" s="33" t="str">
        <f t="shared" si="12"/>
        <v>No</v>
      </c>
      <c r="E191" s="26">
        <v>4274.8599999999997</v>
      </c>
      <c r="F191" s="29">
        <v>7375.53</v>
      </c>
      <c r="G191" s="39" t="s">
        <v>346</v>
      </c>
      <c r="H191" s="7">
        <f t="shared" si="10"/>
        <v>11650.39</v>
      </c>
    </row>
    <row r="192" spans="1:8" x14ac:dyDescent="0.35">
      <c r="A192" s="3" t="s">
        <v>75</v>
      </c>
      <c r="B192" s="16">
        <v>2.8708523658912223E-4</v>
      </c>
      <c r="C192" s="8" t="s">
        <v>215</v>
      </c>
      <c r="D192" s="33" t="str">
        <f t="shared" si="12"/>
        <v>No</v>
      </c>
      <c r="E192" s="26">
        <v>4103.93</v>
      </c>
      <c r="F192" s="29">
        <v>7080.63</v>
      </c>
      <c r="G192" s="39" t="s">
        <v>346</v>
      </c>
      <c r="H192" s="7">
        <f t="shared" si="10"/>
        <v>11184.560000000001</v>
      </c>
    </row>
    <row r="193" spans="1:8" x14ac:dyDescent="0.35">
      <c r="A193" s="3" t="s">
        <v>216</v>
      </c>
      <c r="B193" s="16">
        <v>5.2318127209600006E-3</v>
      </c>
      <c r="C193" s="8" t="s">
        <v>216</v>
      </c>
      <c r="D193" s="33" t="str">
        <f t="shared" si="12"/>
        <v>No</v>
      </c>
      <c r="E193" s="26">
        <v>74789.7</v>
      </c>
      <c r="F193" s="29">
        <v>129036.63</v>
      </c>
      <c r="G193" s="39" t="s">
        <v>346</v>
      </c>
      <c r="H193" s="7">
        <f t="shared" si="10"/>
        <v>203826.33000000002</v>
      </c>
    </row>
    <row r="194" spans="1:8" x14ac:dyDescent="0.35">
      <c r="A194" s="3" t="s">
        <v>217</v>
      </c>
      <c r="B194" s="16">
        <v>3.4855560519191808E-4</v>
      </c>
      <c r="C194" s="8" t="s">
        <v>218</v>
      </c>
      <c r="D194" s="33" t="str">
        <f t="shared" si="12"/>
        <v>No</v>
      </c>
      <c r="E194" s="26">
        <v>4982.66</v>
      </c>
      <c r="F194" s="29">
        <v>8596.7199999999993</v>
      </c>
      <c r="G194" s="39" t="s">
        <v>346</v>
      </c>
      <c r="H194" s="7">
        <f t="shared" si="10"/>
        <v>13579.38</v>
      </c>
    </row>
    <row r="195" spans="1:8" x14ac:dyDescent="0.35">
      <c r="A195" s="3" t="s">
        <v>47</v>
      </c>
      <c r="B195" s="16">
        <v>1.2868028544570567E-4</v>
      </c>
      <c r="C195" s="8" t="s">
        <v>219</v>
      </c>
      <c r="D195" s="33" t="str">
        <f t="shared" si="12"/>
        <v>No</v>
      </c>
      <c r="E195" s="26">
        <v>0</v>
      </c>
      <c r="F195" s="29">
        <v>0</v>
      </c>
      <c r="G195" s="39" t="s">
        <v>346</v>
      </c>
      <c r="H195" s="7">
        <f t="shared" si="10"/>
        <v>0</v>
      </c>
    </row>
    <row r="196" spans="1:8" x14ac:dyDescent="0.35">
      <c r="A196" s="3" t="s">
        <v>22</v>
      </c>
      <c r="B196" s="16">
        <v>9.3741051152000014E-4</v>
      </c>
      <c r="C196" s="8" t="s">
        <v>220</v>
      </c>
      <c r="D196" s="33" t="str">
        <f t="shared" si="12"/>
        <v>No</v>
      </c>
      <c r="E196" s="26">
        <v>13400.45</v>
      </c>
      <c r="F196" s="29">
        <v>23120.15</v>
      </c>
      <c r="G196" s="39" t="s">
        <v>346</v>
      </c>
      <c r="H196" s="7">
        <f t="shared" si="10"/>
        <v>36520.600000000006</v>
      </c>
    </row>
    <row r="197" spans="1:8" x14ac:dyDescent="0.35">
      <c r="A197" s="3" t="s">
        <v>105</v>
      </c>
      <c r="B197" s="16">
        <v>4.1937412125987635E-4</v>
      </c>
      <c r="C197" s="8" t="s">
        <v>221</v>
      </c>
      <c r="D197" s="33" t="str">
        <f t="shared" si="12"/>
        <v>No</v>
      </c>
      <c r="E197" s="26">
        <v>5995.03</v>
      </c>
      <c r="F197" s="29">
        <v>10343.379999999999</v>
      </c>
      <c r="G197" s="39" t="s">
        <v>346</v>
      </c>
      <c r="H197" s="7">
        <f t="shared" ref="H197:H260" si="13">SUM(E197:G197)</f>
        <v>16338.41</v>
      </c>
    </row>
    <row r="198" spans="1:8" x14ac:dyDescent="0.35">
      <c r="A198" s="3" t="s">
        <v>34</v>
      </c>
      <c r="B198" s="16">
        <v>8.7589028181219765E-4</v>
      </c>
      <c r="C198" s="8" t="s">
        <v>222</v>
      </c>
      <c r="D198" s="33" t="str">
        <f t="shared" si="12"/>
        <v>No</v>
      </c>
      <c r="E198" s="26">
        <v>12521.01</v>
      </c>
      <c r="F198" s="29">
        <v>21602.82</v>
      </c>
      <c r="G198" s="39" t="s">
        <v>346</v>
      </c>
      <c r="H198" s="7">
        <f t="shared" si="13"/>
        <v>34123.83</v>
      </c>
    </row>
    <row r="199" spans="1:8" x14ac:dyDescent="0.35">
      <c r="A199" s="3" t="s">
        <v>34</v>
      </c>
      <c r="B199" s="16">
        <v>6.2011746176264277E-4</v>
      </c>
      <c r="C199" s="8" t="s">
        <v>223</v>
      </c>
      <c r="D199" s="33" t="str">
        <f t="shared" si="12"/>
        <v>No</v>
      </c>
      <c r="E199" s="26">
        <v>8864.69</v>
      </c>
      <c r="F199" s="29">
        <v>15294.48</v>
      </c>
      <c r="G199" s="39" t="s">
        <v>346</v>
      </c>
      <c r="H199" s="7">
        <f t="shared" si="13"/>
        <v>24159.17</v>
      </c>
    </row>
    <row r="200" spans="1:8" x14ac:dyDescent="0.35">
      <c r="A200" s="3" t="s">
        <v>34</v>
      </c>
      <c r="B200" s="16">
        <v>1.6393846172607529E-4</v>
      </c>
      <c r="C200" s="8" t="s">
        <v>224</v>
      </c>
      <c r="D200" s="33" t="str">
        <f t="shared" si="12"/>
        <v>No</v>
      </c>
      <c r="E200" s="26">
        <v>2343.5300000000002</v>
      </c>
      <c r="F200" s="29">
        <v>4043.35</v>
      </c>
      <c r="G200" s="39" t="s">
        <v>346</v>
      </c>
      <c r="H200" s="7">
        <f t="shared" si="13"/>
        <v>6386.88</v>
      </c>
    </row>
    <row r="201" spans="1:8" x14ac:dyDescent="0.35">
      <c r="A201" s="3" t="s">
        <v>34</v>
      </c>
      <c r="B201" s="16">
        <v>5.8535727113920008E-2</v>
      </c>
      <c r="C201" s="8" t="s">
        <v>34</v>
      </c>
      <c r="D201" s="33" t="str">
        <f t="shared" si="12"/>
        <v>No</v>
      </c>
      <c r="E201" s="26">
        <v>836778.66</v>
      </c>
      <c r="F201" s="29">
        <v>1443716.23</v>
      </c>
      <c r="G201" s="39" t="s">
        <v>346</v>
      </c>
      <c r="H201" s="7">
        <f t="shared" si="13"/>
        <v>2280494.89</v>
      </c>
    </row>
    <row r="202" spans="1:8" x14ac:dyDescent="0.35">
      <c r="A202" s="3" t="s">
        <v>225</v>
      </c>
      <c r="B202" s="16">
        <v>2.4376421473599999E-3</v>
      </c>
      <c r="C202" s="8" t="s">
        <v>225</v>
      </c>
      <c r="D202" s="33" t="str">
        <f t="shared" si="12"/>
        <v>No</v>
      </c>
      <c r="E202" s="26">
        <v>34846.53</v>
      </c>
      <c r="F202" s="29">
        <v>60121.63</v>
      </c>
      <c r="G202" s="39" t="s">
        <v>346</v>
      </c>
      <c r="H202" s="7">
        <f t="shared" si="13"/>
        <v>94968.16</v>
      </c>
    </row>
    <row r="203" spans="1:8" x14ac:dyDescent="0.35">
      <c r="A203" s="3" t="s">
        <v>60</v>
      </c>
      <c r="B203" s="16">
        <v>2.1604790854926307E-6</v>
      </c>
      <c r="C203" s="8" t="s">
        <v>226</v>
      </c>
      <c r="D203" s="33" t="str">
        <f t="shared" si="12"/>
        <v>Yes</v>
      </c>
      <c r="E203" s="26">
        <v>30.88</v>
      </c>
      <c r="F203" s="29">
        <v>53.29</v>
      </c>
      <c r="G203" s="39" t="s">
        <v>346</v>
      </c>
      <c r="H203" s="7">
        <f t="shared" si="13"/>
        <v>84.17</v>
      </c>
    </row>
    <row r="204" spans="1:8" x14ac:dyDescent="0.35">
      <c r="A204" s="3" t="s">
        <v>227</v>
      </c>
      <c r="B204" s="16">
        <v>6.2312530156800007E-3</v>
      </c>
      <c r="C204" s="8" t="s">
        <v>227</v>
      </c>
      <c r="D204" s="33" t="str">
        <f t="shared" si="12"/>
        <v>No</v>
      </c>
      <c r="E204" s="26">
        <v>89076.87</v>
      </c>
      <c r="F204" s="29">
        <v>153686.67000000001</v>
      </c>
      <c r="G204" s="39" t="s">
        <v>346</v>
      </c>
      <c r="H204" s="7">
        <f t="shared" si="13"/>
        <v>242763.54</v>
      </c>
    </row>
    <row r="205" spans="1:8" x14ac:dyDescent="0.35">
      <c r="A205" s="3" t="s">
        <v>228</v>
      </c>
      <c r="B205" s="16">
        <v>5.6487088447999996E-4</v>
      </c>
      <c r="C205" s="8" t="s">
        <v>228</v>
      </c>
      <c r="D205" s="33" t="str">
        <f t="shared" si="12"/>
        <v>No</v>
      </c>
      <c r="E205" s="26">
        <v>8074.93</v>
      </c>
      <c r="F205" s="29">
        <v>13931.89</v>
      </c>
      <c r="G205" s="39" t="s">
        <v>346</v>
      </c>
      <c r="H205" s="7">
        <f t="shared" si="13"/>
        <v>22006.82</v>
      </c>
    </row>
    <row r="206" spans="1:8" x14ac:dyDescent="0.35">
      <c r="A206" s="3" t="s">
        <v>34</v>
      </c>
      <c r="B206" s="16">
        <v>2.8958027866277504E-4</v>
      </c>
      <c r="C206" s="8" t="s">
        <v>229</v>
      </c>
      <c r="D206" s="33" t="str">
        <f t="shared" si="12"/>
        <v>No</v>
      </c>
      <c r="E206" s="26">
        <v>4139.6000000000004</v>
      </c>
      <c r="F206" s="29">
        <v>7142.16</v>
      </c>
      <c r="G206" s="39" t="s">
        <v>346</v>
      </c>
      <c r="H206" s="7">
        <f t="shared" si="13"/>
        <v>11281.76</v>
      </c>
    </row>
    <row r="207" spans="1:8" x14ac:dyDescent="0.35">
      <c r="A207" s="3" t="s">
        <v>230</v>
      </c>
      <c r="B207" s="16">
        <v>2.1551218640000003E-3</v>
      </c>
      <c r="C207" s="8" t="s">
        <v>230</v>
      </c>
      <c r="D207" s="33" t="str">
        <f t="shared" si="12"/>
        <v>No</v>
      </c>
      <c r="E207" s="26">
        <v>30807.85</v>
      </c>
      <c r="F207" s="29">
        <v>53153.599999999999</v>
      </c>
      <c r="G207" s="39" t="s">
        <v>346</v>
      </c>
      <c r="H207" s="7">
        <f t="shared" si="13"/>
        <v>83961.45</v>
      </c>
    </row>
    <row r="208" spans="1:8" x14ac:dyDescent="0.35">
      <c r="A208" s="3" t="s">
        <v>231</v>
      </c>
      <c r="B208" s="16">
        <v>5.8661152369835065E-4</v>
      </c>
      <c r="C208" s="8" t="s">
        <v>231</v>
      </c>
      <c r="D208" s="33" t="str">
        <f t="shared" si="12"/>
        <v>No</v>
      </c>
      <c r="E208" s="26">
        <v>8385.7199999999993</v>
      </c>
      <c r="F208" s="29">
        <v>14468.1</v>
      </c>
      <c r="G208" s="39" t="s">
        <v>346</v>
      </c>
      <c r="H208" s="7">
        <f t="shared" si="13"/>
        <v>22853.82</v>
      </c>
    </row>
    <row r="209" spans="1:8" x14ac:dyDescent="0.35">
      <c r="A209" s="3" t="s">
        <v>83</v>
      </c>
      <c r="B209" s="16">
        <v>7.4328491705644338E-5</v>
      </c>
      <c r="C209" s="8" t="s">
        <v>232</v>
      </c>
      <c r="D209" s="33" t="str">
        <f t="shared" si="12"/>
        <v>Yes</v>
      </c>
      <c r="E209" s="26">
        <v>1062.54</v>
      </c>
      <c r="F209" s="29">
        <v>1833.23</v>
      </c>
      <c r="G209" s="39" t="s">
        <v>346</v>
      </c>
      <c r="H209" s="7">
        <f t="shared" si="13"/>
        <v>2895.77</v>
      </c>
    </row>
    <row r="210" spans="1:8" x14ac:dyDescent="0.35">
      <c r="A210" s="3" t="s">
        <v>233</v>
      </c>
      <c r="B210" s="16">
        <v>3.1792059880000004E-3</v>
      </c>
      <c r="C210" s="8" t="s">
        <v>233</v>
      </c>
      <c r="D210" s="33" t="str">
        <f t="shared" si="12"/>
        <v>No</v>
      </c>
      <c r="E210" s="26">
        <v>45447.32</v>
      </c>
      <c r="F210" s="29">
        <v>78411.45</v>
      </c>
      <c r="G210" s="39" t="s">
        <v>346</v>
      </c>
      <c r="H210" s="7">
        <f t="shared" si="13"/>
        <v>123858.76999999999</v>
      </c>
    </row>
    <row r="211" spans="1:8" x14ac:dyDescent="0.35">
      <c r="A211" s="3" t="s">
        <v>24</v>
      </c>
      <c r="B211" s="16">
        <v>8.8613450937211676E-3</v>
      </c>
      <c r="C211" s="8" t="s">
        <v>24</v>
      </c>
      <c r="D211" s="33" t="str">
        <f t="shared" si="12"/>
        <v>No</v>
      </c>
      <c r="E211" s="26">
        <v>126674.51</v>
      </c>
      <c r="F211" s="29">
        <v>218554.86</v>
      </c>
      <c r="G211" s="39" t="s">
        <v>346</v>
      </c>
      <c r="H211" s="7">
        <f t="shared" si="13"/>
        <v>345229.37</v>
      </c>
    </row>
    <row r="212" spans="1:8" x14ac:dyDescent="0.35">
      <c r="A212" s="3" t="s">
        <v>234</v>
      </c>
      <c r="B212" s="16">
        <v>3.587611178190589E-4</v>
      </c>
      <c r="C212" s="8" t="s">
        <v>235</v>
      </c>
      <c r="D212" s="33" t="str">
        <f t="shared" si="12"/>
        <v>No</v>
      </c>
      <c r="E212" s="26">
        <v>5128.55</v>
      </c>
      <c r="F212" s="29">
        <v>8848.43</v>
      </c>
      <c r="G212" s="39" t="s">
        <v>346</v>
      </c>
      <c r="H212" s="7">
        <f t="shared" si="13"/>
        <v>13976.98</v>
      </c>
    </row>
    <row r="213" spans="1:8" x14ac:dyDescent="0.35">
      <c r="A213" s="3" t="s">
        <v>34</v>
      </c>
      <c r="B213" s="16">
        <v>1.3184908745622357E-4</v>
      </c>
      <c r="C213" s="8" t="s">
        <v>236</v>
      </c>
      <c r="D213" s="33" t="str">
        <f t="shared" si="12"/>
        <v>No</v>
      </c>
      <c r="E213" s="26">
        <v>1884.81</v>
      </c>
      <c r="F213" s="29">
        <v>3251.91</v>
      </c>
      <c r="G213" s="39" t="s">
        <v>346</v>
      </c>
      <c r="H213" s="7">
        <f t="shared" si="13"/>
        <v>5136.7199999999993</v>
      </c>
    </row>
    <row r="214" spans="1:8" x14ac:dyDescent="0.35">
      <c r="A214" s="3" t="s">
        <v>24</v>
      </c>
      <c r="B214" s="16">
        <v>4.1475564429802469E-5</v>
      </c>
      <c r="C214" s="8" t="s">
        <v>237</v>
      </c>
      <c r="D214" s="33" t="str">
        <f t="shared" si="12"/>
        <v>Yes</v>
      </c>
      <c r="E214" s="26">
        <v>592.9</v>
      </c>
      <c r="F214" s="29">
        <v>1022.95</v>
      </c>
      <c r="G214" s="39" t="s">
        <v>346</v>
      </c>
      <c r="H214" s="7">
        <f t="shared" si="13"/>
        <v>1615.85</v>
      </c>
    </row>
    <row r="215" spans="1:8" x14ac:dyDescent="0.35">
      <c r="A215" s="3" t="s">
        <v>28</v>
      </c>
      <c r="B215" s="16">
        <v>2.8482037360000003E-4</v>
      </c>
      <c r="C215" s="8" t="s">
        <v>238</v>
      </c>
      <c r="D215" s="33" t="str">
        <f t="shared" si="12"/>
        <v>No</v>
      </c>
      <c r="E215" s="26">
        <v>4071.56</v>
      </c>
      <c r="F215" s="29">
        <v>7024.77</v>
      </c>
      <c r="G215" s="39" t="s">
        <v>346</v>
      </c>
      <c r="H215" s="7">
        <f t="shared" si="13"/>
        <v>11096.33</v>
      </c>
    </row>
    <row r="216" spans="1:8" x14ac:dyDescent="0.35">
      <c r="A216" s="3" t="s">
        <v>14</v>
      </c>
      <c r="B216" s="16">
        <v>8.7988886930075511E-5</v>
      </c>
      <c r="C216" s="8" t="s">
        <v>239</v>
      </c>
      <c r="D216" s="33" t="str">
        <f t="shared" si="12"/>
        <v>No</v>
      </c>
      <c r="E216" s="26">
        <v>1257.82</v>
      </c>
      <c r="F216" s="29">
        <v>2170.14</v>
      </c>
      <c r="G216" s="39" t="s">
        <v>346</v>
      </c>
      <c r="H216" s="7">
        <f t="shared" si="13"/>
        <v>3427.96</v>
      </c>
    </row>
    <row r="217" spans="1:8" x14ac:dyDescent="0.35">
      <c r="A217" s="3" t="s">
        <v>22</v>
      </c>
      <c r="B217" s="16">
        <v>3.6990834623853557E-4</v>
      </c>
      <c r="C217" s="8" t="s">
        <v>240</v>
      </c>
      <c r="D217" s="33" t="str">
        <f t="shared" si="12"/>
        <v>No</v>
      </c>
      <c r="E217" s="26">
        <v>5287.91</v>
      </c>
      <c r="F217" s="29">
        <v>9123.36</v>
      </c>
      <c r="G217" s="39" t="s">
        <v>346</v>
      </c>
      <c r="H217" s="7">
        <f t="shared" si="13"/>
        <v>14411.27</v>
      </c>
    </row>
    <row r="218" spans="1:8" x14ac:dyDescent="0.35">
      <c r="A218" s="3" t="s">
        <v>34</v>
      </c>
      <c r="B218" s="16">
        <v>3.3688147393600002E-3</v>
      </c>
      <c r="C218" s="8" t="s">
        <v>241</v>
      </c>
      <c r="D218" s="33" t="str">
        <f t="shared" si="12"/>
        <v>No</v>
      </c>
      <c r="E218" s="26">
        <v>48157.81</v>
      </c>
      <c r="F218" s="29">
        <v>83087.929999999993</v>
      </c>
      <c r="G218" s="39" t="s">
        <v>346</v>
      </c>
      <c r="H218" s="7">
        <f t="shared" si="13"/>
        <v>131245.74</v>
      </c>
    </row>
    <row r="219" spans="1:8" x14ac:dyDescent="0.35">
      <c r="A219" s="3" t="s">
        <v>121</v>
      </c>
      <c r="B219" s="16">
        <v>8.6247881362653192E-5</v>
      </c>
      <c r="C219" s="8" t="s">
        <v>242</v>
      </c>
      <c r="D219" s="33" t="str">
        <f t="shared" si="12"/>
        <v>No</v>
      </c>
      <c r="E219" s="26">
        <v>1232.93</v>
      </c>
      <c r="F219" s="29">
        <v>2127.1999999999998</v>
      </c>
      <c r="G219" s="39" t="s">
        <v>346</v>
      </c>
      <c r="H219" s="7">
        <f t="shared" si="13"/>
        <v>3360.13</v>
      </c>
    </row>
    <row r="220" spans="1:8" x14ac:dyDescent="0.35">
      <c r="A220" s="3" t="s">
        <v>121</v>
      </c>
      <c r="B220" s="16">
        <v>1.5570980204524306E-3</v>
      </c>
      <c r="C220" s="8" t="s">
        <v>243</v>
      </c>
      <c r="D220" s="33" t="str">
        <f t="shared" si="12"/>
        <v>No</v>
      </c>
      <c r="E220" s="26">
        <v>22258.99</v>
      </c>
      <c r="F220" s="29">
        <v>38404.03</v>
      </c>
      <c r="G220" s="39" t="s">
        <v>346</v>
      </c>
      <c r="H220" s="7">
        <f t="shared" si="13"/>
        <v>60663.020000000004</v>
      </c>
    </row>
    <row r="221" spans="1:8" x14ac:dyDescent="0.35">
      <c r="A221" s="3" t="s">
        <v>83</v>
      </c>
      <c r="B221" s="16">
        <v>5.8689546567199742E-4</v>
      </c>
      <c r="C221" s="8" t="s">
        <v>244</v>
      </c>
      <c r="D221" s="33" t="str">
        <f t="shared" si="12"/>
        <v>No</v>
      </c>
      <c r="E221" s="26">
        <v>8389.7800000000007</v>
      </c>
      <c r="F221" s="29">
        <v>14475.1</v>
      </c>
      <c r="G221" s="39" t="s">
        <v>346</v>
      </c>
      <c r="H221" s="7">
        <f t="shared" si="13"/>
        <v>22864.880000000001</v>
      </c>
    </row>
    <row r="222" spans="1:8" x14ac:dyDescent="0.35">
      <c r="A222" s="3" t="s">
        <v>245</v>
      </c>
      <c r="B222" s="16">
        <v>1.6298467953600002E-3</v>
      </c>
      <c r="C222" s="8" t="s">
        <v>245</v>
      </c>
      <c r="D222" s="33" t="str">
        <f t="shared" si="12"/>
        <v>No</v>
      </c>
      <c r="E222" s="26">
        <v>23298.95</v>
      </c>
      <c r="F222" s="29">
        <v>40198.29</v>
      </c>
      <c r="G222" s="39" t="s">
        <v>346</v>
      </c>
      <c r="H222" s="7">
        <f t="shared" si="13"/>
        <v>63497.240000000005</v>
      </c>
    </row>
    <row r="223" spans="1:8" x14ac:dyDescent="0.35">
      <c r="A223" s="3" t="s">
        <v>22</v>
      </c>
      <c r="B223" s="16">
        <v>1.2666525541676524E-3</v>
      </c>
      <c r="C223" s="8" t="s">
        <v>246</v>
      </c>
      <c r="D223" s="33" t="str">
        <f t="shared" si="12"/>
        <v>No</v>
      </c>
      <c r="E223" s="26">
        <v>18107.02</v>
      </c>
      <c r="F223" s="29">
        <v>31240.53</v>
      </c>
      <c r="G223" s="39" t="s">
        <v>346</v>
      </c>
      <c r="H223" s="7">
        <f t="shared" si="13"/>
        <v>49347.55</v>
      </c>
    </row>
    <row r="224" spans="1:8" x14ac:dyDescent="0.35">
      <c r="A224" s="3" t="s">
        <v>22</v>
      </c>
      <c r="B224" s="16">
        <v>2.8839077355712506E-4</v>
      </c>
      <c r="C224" s="8" t="s">
        <v>247</v>
      </c>
      <c r="D224" s="33" t="str">
        <f t="shared" si="12"/>
        <v>No</v>
      </c>
      <c r="E224" s="26">
        <v>4122.6000000000004</v>
      </c>
      <c r="F224" s="29">
        <v>7112.83</v>
      </c>
      <c r="G224" s="39" t="s">
        <v>346</v>
      </c>
      <c r="H224" s="7">
        <f t="shared" si="13"/>
        <v>11235.43</v>
      </c>
    </row>
    <row r="225" spans="1:8" x14ac:dyDescent="0.35">
      <c r="A225" s="3" t="s">
        <v>34</v>
      </c>
      <c r="B225" s="16">
        <v>2.3853655851105939E-4</v>
      </c>
      <c r="C225" s="8" t="s">
        <v>248</v>
      </c>
      <c r="D225" s="33" t="str">
        <f t="shared" si="12"/>
        <v>No</v>
      </c>
      <c r="E225" s="26">
        <v>3409.92</v>
      </c>
      <c r="F225" s="29">
        <v>5883.23</v>
      </c>
      <c r="G225" s="39" t="s">
        <v>346</v>
      </c>
      <c r="H225" s="7">
        <f t="shared" si="13"/>
        <v>9293.15</v>
      </c>
    </row>
    <row r="226" spans="1:8" x14ac:dyDescent="0.35">
      <c r="A226" s="3" t="s">
        <v>34</v>
      </c>
      <c r="B226" s="16">
        <v>4.0386057204984545E-4</v>
      </c>
      <c r="C226" s="8" t="s">
        <v>249</v>
      </c>
      <c r="D226" s="33" t="str">
        <f t="shared" si="12"/>
        <v>No</v>
      </c>
      <c r="E226" s="26">
        <v>5773.26</v>
      </c>
      <c r="F226" s="29">
        <v>9960.76</v>
      </c>
      <c r="G226" s="39" t="s">
        <v>346</v>
      </c>
      <c r="H226" s="7">
        <f t="shared" si="13"/>
        <v>15734.02</v>
      </c>
    </row>
    <row r="227" spans="1:8" x14ac:dyDescent="0.35">
      <c r="A227" s="3" t="s">
        <v>22</v>
      </c>
      <c r="B227" s="16">
        <v>1.0430545820800002E-3</v>
      </c>
      <c r="C227" s="8" t="s">
        <v>250</v>
      </c>
      <c r="D227" s="33" t="str">
        <f t="shared" si="12"/>
        <v>No</v>
      </c>
      <c r="E227" s="26">
        <v>14910.65</v>
      </c>
      <c r="F227" s="29">
        <v>25725.74</v>
      </c>
      <c r="G227" s="39" t="s">
        <v>346</v>
      </c>
      <c r="H227" s="7">
        <f t="shared" si="13"/>
        <v>40636.39</v>
      </c>
    </row>
    <row r="228" spans="1:8" x14ac:dyDescent="0.35">
      <c r="A228" s="3" t="s">
        <v>251</v>
      </c>
      <c r="B228" s="16">
        <v>4.3018366798400001E-3</v>
      </c>
      <c r="C228" s="8" t="s">
        <v>251</v>
      </c>
      <c r="D228" s="33" t="str">
        <f t="shared" si="12"/>
        <v>No</v>
      </c>
      <c r="E228" s="26">
        <v>61495.519999999997</v>
      </c>
      <c r="F228" s="29">
        <v>106099.84</v>
      </c>
      <c r="G228" s="39" t="s">
        <v>346</v>
      </c>
      <c r="H228" s="7">
        <f t="shared" si="13"/>
        <v>167595.35999999999</v>
      </c>
    </row>
    <row r="229" spans="1:8" x14ac:dyDescent="0.35">
      <c r="A229" s="3" t="s">
        <v>75</v>
      </c>
      <c r="B229" s="16">
        <v>2.5535928015214338E-3</v>
      </c>
      <c r="C229" s="8" t="s">
        <v>252</v>
      </c>
      <c r="D229" s="33" t="str">
        <f t="shared" si="12"/>
        <v>No</v>
      </c>
      <c r="E229" s="26">
        <v>36504.06</v>
      </c>
      <c r="F229" s="29">
        <v>62981.42</v>
      </c>
      <c r="G229" s="39" t="s">
        <v>346</v>
      </c>
      <c r="H229" s="7">
        <f t="shared" si="13"/>
        <v>99485.48</v>
      </c>
    </row>
    <row r="230" spans="1:8" x14ac:dyDescent="0.35">
      <c r="A230" s="3" t="s">
        <v>34</v>
      </c>
      <c r="B230" s="16">
        <v>1.5512635402572228E-3</v>
      </c>
      <c r="C230" s="8" t="s">
        <v>253</v>
      </c>
      <c r="D230" s="33" t="str">
        <f t="shared" si="12"/>
        <v>No</v>
      </c>
      <c r="E230" s="26">
        <v>22175.59</v>
      </c>
      <c r="F230" s="29">
        <v>38260.129999999997</v>
      </c>
      <c r="G230" s="39" t="s">
        <v>346</v>
      </c>
      <c r="H230" s="7">
        <f t="shared" si="13"/>
        <v>60435.72</v>
      </c>
    </row>
    <row r="231" spans="1:8" x14ac:dyDescent="0.35">
      <c r="A231" s="3" t="s">
        <v>254</v>
      </c>
      <c r="B231" s="16">
        <v>4.1352700239291102E-4</v>
      </c>
      <c r="C231" s="8" t="s">
        <v>255</v>
      </c>
      <c r="D231" s="33" t="str">
        <f t="shared" si="12"/>
        <v>No</v>
      </c>
      <c r="E231" s="26">
        <v>5911.44</v>
      </c>
      <c r="F231" s="29">
        <v>10199.17</v>
      </c>
      <c r="G231" s="39" t="s">
        <v>346</v>
      </c>
      <c r="H231" s="7">
        <f t="shared" si="13"/>
        <v>16110.61</v>
      </c>
    </row>
    <row r="232" spans="1:8" x14ac:dyDescent="0.35">
      <c r="A232" s="3" t="s">
        <v>254</v>
      </c>
      <c r="B232" s="16">
        <v>2.5740509013613654E-3</v>
      </c>
      <c r="C232" s="8" t="s">
        <v>256</v>
      </c>
      <c r="D232" s="33" t="str">
        <f t="shared" si="12"/>
        <v>No</v>
      </c>
      <c r="E232" s="26">
        <v>36796.519999999997</v>
      </c>
      <c r="F232" s="29">
        <v>63486</v>
      </c>
      <c r="G232" s="39" t="s">
        <v>346</v>
      </c>
      <c r="H232" s="7">
        <f t="shared" si="13"/>
        <v>100282.51999999999</v>
      </c>
    </row>
    <row r="233" spans="1:8" x14ac:dyDescent="0.35">
      <c r="A233" s="3" t="s">
        <v>254</v>
      </c>
      <c r="B233" s="16">
        <v>1.8052764385600002E-2</v>
      </c>
      <c r="C233" s="8" t="s">
        <v>254</v>
      </c>
      <c r="D233" s="33" t="str">
        <f t="shared" si="12"/>
        <v>No</v>
      </c>
      <c r="E233" s="26">
        <v>258067.49</v>
      </c>
      <c r="F233" s="29">
        <v>445250.62</v>
      </c>
      <c r="G233" s="39" t="s">
        <v>346</v>
      </c>
      <c r="H233" s="7">
        <f t="shared" si="13"/>
        <v>703318.11</v>
      </c>
    </row>
    <row r="234" spans="1:8" x14ac:dyDescent="0.35">
      <c r="A234" s="3" t="s">
        <v>257</v>
      </c>
      <c r="B234" s="16">
        <v>3.8845852225600007E-3</v>
      </c>
      <c r="C234" s="8" t="s">
        <v>257</v>
      </c>
      <c r="D234" s="33" t="str">
        <f t="shared" si="12"/>
        <v>No</v>
      </c>
      <c r="E234" s="26">
        <v>55530.84</v>
      </c>
      <c r="F234" s="29">
        <v>95808.82</v>
      </c>
      <c r="G234" s="39" t="s">
        <v>346</v>
      </c>
      <c r="H234" s="7">
        <f t="shared" si="13"/>
        <v>151339.66</v>
      </c>
    </row>
    <row r="235" spans="1:8" x14ac:dyDescent="0.35">
      <c r="A235" s="3" t="s">
        <v>77</v>
      </c>
      <c r="B235" s="16">
        <v>1.1028617297600002E-3</v>
      </c>
      <c r="C235" s="8" t="s">
        <v>258</v>
      </c>
      <c r="D235" s="33" t="str">
        <f t="shared" si="12"/>
        <v>No</v>
      </c>
      <c r="E235" s="26">
        <v>15765.61</v>
      </c>
      <c r="F235" s="29">
        <v>27200.81</v>
      </c>
      <c r="G235" s="39" t="s">
        <v>346</v>
      </c>
      <c r="H235" s="7">
        <f t="shared" si="13"/>
        <v>42966.42</v>
      </c>
    </row>
    <row r="236" spans="1:8" x14ac:dyDescent="0.35">
      <c r="A236" s="3" t="s">
        <v>259</v>
      </c>
      <c r="B236" s="16">
        <v>4.7180115840645136E-4</v>
      </c>
      <c r="C236" s="8" t="s">
        <v>259</v>
      </c>
      <c r="D236" s="33" t="str">
        <f t="shared" si="12"/>
        <v>No</v>
      </c>
      <c r="E236" s="26">
        <v>6744.48</v>
      </c>
      <c r="F236" s="29">
        <v>11636.43</v>
      </c>
      <c r="G236" s="39" t="s">
        <v>346</v>
      </c>
      <c r="H236" s="7">
        <f t="shared" si="13"/>
        <v>18380.91</v>
      </c>
    </row>
    <row r="237" spans="1:8" x14ac:dyDescent="0.35">
      <c r="A237" s="3" t="s">
        <v>28</v>
      </c>
      <c r="B237" s="16">
        <v>3.0790140802788518E-5</v>
      </c>
      <c r="C237" s="8" t="s">
        <v>260</v>
      </c>
      <c r="D237" s="33" t="str">
        <f t="shared" si="12"/>
        <v>Yes</v>
      </c>
      <c r="E237" s="26">
        <v>440.15</v>
      </c>
      <c r="F237" s="29">
        <v>759.4</v>
      </c>
      <c r="G237" s="39" t="s">
        <v>346</v>
      </c>
      <c r="H237" s="7">
        <f t="shared" si="13"/>
        <v>1199.55</v>
      </c>
    </row>
    <row r="238" spans="1:8" x14ac:dyDescent="0.35">
      <c r="A238" s="3" t="s">
        <v>75</v>
      </c>
      <c r="B238" s="16">
        <v>3.0268607449793141E-3</v>
      </c>
      <c r="C238" s="8" t="s">
        <v>261</v>
      </c>
      <c r="D238" s="33" t="str">
        <f t="shared" si="12"/>
        <v>No</v>
      </c>
      <c r="E238" s="26">
        <v>43269.51</v>
      </c>
      <c r="F238" s="29">
        <v>74654.03</v>
      </c>
      <c r="G238" s="39" t="s">
        <v>346</v>
      </c>
      <c r="H238" s="7">
        <f t="shared" si="13"/>
        <v>117923.54000000001</v>
      </c>
    </row>
    <row r="239" spans="1:8" x14ac:dyDescent="0.35">
      <c r="A239" s="3" t="s">
        <v>234</v>
      </c>
      <c r="B239" s="16">
        <v>8.1260410302400003E-3</v>
      </c>
      <c r="C239" s="8" t="s">
        <v>234</v>
      </c>
      <c r="D239" s="33" t="str">
        <f t="shared" si="12"/>
        <v>No</v>
      </c>
      <c r="E239" s="26">
        <v>116163.21</v>
      </c>
      <c r="F239" s="29">
        <v>200419.43</v>
      </c>
      <c r="G239" s="39" t="s">
        <v>346</v>
      </c>
      <c r="H239" s="7">
        <f t="shared" si="13"/>
        <v>316582.64</v>
      </c>
    </row>
    <row r="240" spans="1:8" x14ac:dyDescent="0.35">
      <c r="A240" s="3" t="s">
        <v>34</v>
      </c>
      <c r="B240" s="16">
        <v>1.547383996257214E-4</v>
      </c>
      <c r="C240" s="8" t="s">
        <v>262</v>
      </c>
      <c r="D240" s="33" t="str">
        <f t="shared" si="12"/>
        <v>No</v>
      </c>
      <c r="E240" s="26">
        <v>2212.0100000000002</v>
      </c>
      <c r="F240" s="29">
        <v>3816.44</v>
      </c>
      <c r="G240" s="39" t="s">
        <v>346</v>
      </c>
      <c r="H240" s="7">
        <f t="shared" si="13"/>
        <v>6028.4500000000007</v>
      </c>
    </row>
    <row r="241" spans="1:8" x14ac:dyDescent="0.35">
      <c r="A241" s="3" t="s">
        <v>34</v>
      </c>
      <c r="B241" s="16">
        <v>2.3508376415386128E-3</v>
      </c>
      <c r="C241" s="8" t="s">
        <v>263</v>
      </c>
      <c r="D241" s="33" t="str">
        <f t="shared" si="12"/>
        <v>No</v>
      </c>
      <c r="E241" s="26">
        <v>33605.64</v>
      </c>
      <c r="F241" s="29">
        <v>57980.7</v>
      </c>
      <c r="G241" s="39" t="s">
        <v>346</v>
      </c>
      <c r="H241" s="7">
        <f t="shared" si="13"/>
        <v>91586.34</v>
      </c>
    </row>
    <row r="242" spans="1:8" x14ac:dyDescent="0.35">
      <c r="A242" s="3" t="s">
        <v>34</v>
      </c>
      <c r="B242" s="16">
        <v>6.650644637706374E-7</v>
      </c>
      <c r="C242" s="8" t="s">
        <v>264</v>
      </c>
      <c r="D242" s="33" t="str">
        <f t="shared" si="12"/>
        <v>Yes</v>
      </c>
      <c r="E242" s="26">
        <v>9.51</v>
      </c>
      <c r="F242" s="29">
        <v>16.399999999999999</v>
      </c>
      <c r="G242" s="39" t="s">
        <v>346</v>
      </c>
      <c r="H242" s="7">
        <f t="shared" si="13"/>
        <v>25.909999999999997</v>
      </c>
    </row>
    <row r="243" spans="1:8" x14ac:dyDescent="0.35">
      <c r="A243" s="3" t="s">
        <v>22</v>
      </c>
      <c r="B243" s="16">
        <v>5.308730362373128E-4</v>
      </c>
      <c r="C243" s="8" t="s">
        <v>265</v>
      </c>
      <c r="D243" s="33" t="str">
        <f t="shared" ref="D243:D263" si="14">IF(B243&lt;0.000083,"Yes","No")</f>
        <v>No</v>
      </c>
      <c r="E243" s="26">
        <v>7588.92</v>
      </c>
      <c r="F243" s="29">
        <v>13093.37</v>
      </c>
      <c r="G243" s="39" t="s">
        <v>346</v>
      </c>
      <c r="H243" s="7">
        <f t="shared" si="13"/>
        <v>20682.29</v>
      </c>
    </row>
    <row r="244" spans="1:8" x14ac:dyDescent="0.35">
      <c r="A244" s="3" t="s">
        <v>24</v>
      </c>
      <c r="B244" s="16">
        <v>6.2120900177538814E-5</v>
      </c>
      <c r="C244" s="8" t="s">
        <v>266</v>
      </c>
      <c r="D244" s="33" t="str">
        <f t="shared" si="14"/>
        <v>Yes</v>
      </c>
      <c r="E244" s="26">
        <v>888.03</v>
      </c>
      <c r="F244" s="29">
        <v>1532.14</v>
      </c>
      <c r="G244" s="39" t="s">
        <v>346</v>
      </c>
      <c r="H244" s="7">
        <f t="shared" si="13"/>
        <v>2420.17</v>
      </c>
    </row>
    <row r="245" spans="1:8" x14ac:dyDescent="0.35">
      <c r="A245" s="3" t="s">
        <v>34</v>
      </c>
      <c r="B245" s="16">
        <v>2.6713434479427391E-5</v>
      </c>
      <c r="C245" s="8" t="s">
        <v>267</v>
      </c>
      <c r="D245" s="33" t="str">
        <f t="shared" si="14"/>
        <v>Yes</v>
      </c>
      <c r="E245" s="26">
        <v>381.87</v>
      </c>
      <c r="F245" s="29">
        <v>658.86</v>
      </c>
      <c r="G245" s="39" t="s">
        <v>346</v>
      </c>
      <c r="H245" s="7">
        <f t="shared" si="13"/>
        <v>1040.73</v>
      </c>
    </row>
    <row r="246" spans="1:8" x14ac:dyDescent="0.35">
      <c r="A246" s="3" t="s">
        <v>121</v>
      </c>
      <c r="B246" s="16">
        <v>2.2355271010240003E-2</v>
      </c>
      <c r="C246" s="8" t="s">
        <v>121</v>
      </c>
      <c r="D246" s="33" t="str">
        <f t="shared" si="14"/>
        <v>No</v>
      </c>
      <c r="E246" s="26">
        <v>319572.59000000003</v>
      </c>
      <c r="F246" s="29">
        <v>551366.99</v>
      </c>
      <c r="G246" s="39" t="s">
        <v>346</v>
      </c>
      <c r="H246" s="7">
        <f t="shared" si="13"/>
        <v>870939.58000000007</v>
      </c>
    </row>
    <row r="247" spans="1:8" x14ac:dyDescent="0.35">
      <c r="A247" s="3" t="s">
        <v>268</v>
      </c>
      <c r="B247" s="16">
        <v>2.5489421581211444E-3</v>
      </c>
      <c r="C247" s="8" t="s">
        <v>268</v>
      </c>
      <c r="D247" s="33" t="str">
        <f t="shared" si="14"/>
        <v>No</v>
      </c>
      <c r="E247" s="26">
        <v>36437.58</v>
      </c>
      <c r="F247" s="29">
        <v>62866.720000000001</v>
      </c>
      <c r="G247" s="39" t="s">
        <v>346</v>
      </c>
      <c r="H247" s="7">
        <f t="shared" si="13"/>
        <v>99304.3</v>
      </c>
    </row>
    <row r="248" spans="1:8" x14ac:dyDescent="0.35">
      <c r="A248" s="3" t="s">
        <v>75</v>
      </c>
      <c r="B248" s="16">
        <v>2.0311040435780645E-3</v>
      </c>
      <c r="C248" s="8" t="s">
        <v>269</v>
      </c>
      <c r="D248" s="33" t="str">
        <f t="shared" si="14"/>
        <v>No</v>
      </c>
      <c r="E248" s="26">
        <v>29034.99</v>
      </c>
      <c r="F248" s="29">
        <v>50094.84</v>
      </c>
      <c r="G248" s="39" t="s">
        <v>346</v>
      </c>
      <c r="H248" s="7">
        <f t="shared" si="13"/>
        <v>79129.83</v>
      </c>
    </row>
    <row r="249" spans="1:8" x14ac:dyDescent="0.35">
      <c r="A249" s="3" t="s">
        <v>75</v>
      </c>
      <c r="B249" s="16">
        <v>1.053645978224E-2</v>
      </c>
      <c r="C249" s="8" t="s">
        <v>271</v>
      </c>
      <c r="D249" s="33" t="str">
        <f t="shared" si="14"/>
        <v>No</v>
      </c>
      <c r="E249" s="26">
        <v>150620.57</v>
      </c>
      <c r="F249" s="29">
        <v>259869.63</v>
      </c>
      <c r="G249" s="39" t="s">
        <v>346</v>
      </c>
      <c r="H249" s="7">
        <f t="shared" si="13"/>
        <v>410490.2</v>
      </c>
    </row>
    <row r="250" spans="1:8" x14ac:dyDescent="0.35">
      <c r="A250" s="3" t="s">
        <v>268</v>
      </c>
      <c r="B250" s="16">
        <v>3.5811995813821466E-4</v>
      </c>
      <c r="C250" s="8" t="s">
        <v>272</v>
      </c>
      <c r="D250" s="33" t="str">
        <f t="shared" si="14"/>
        <v>No</v>
      </c>
      <c r="E250" s="26">
        <v>5119.3900000000003</v>
      </c>
      <c r="F250" s="29">
        <v>8832.6200000000008</v>
      </c>
      <c r="G250" s="39" t="s">
        <v>346</v>
      </c>
      <c r="H250" s="7">
        <f t="shared" si="13"/>
        <v>13952.010000000002</v>
      </c>
    </row>
    <row r="251" spans="1:8" x14ac:dyDescent="0.35">
      <c r="A251" s="3" t="s">
        <v>55</v>
      </c>
      <c r="B251" s="16">
        <v>8.7972621758440581E-5</v>
      </c>
      <c r="C251" s="8" t="s">
        <v>273</v>
      </c>
      <c r="D251" s="33" t="str">
        <f t="shared" si="14"/>
        <v>No</v>
      </c>
      <c r="E251" s="26">
        <v>1257.58</v>
      </c>
      <c r="F251" s="29">
        <v>2169.7399999999998</v>
      </c>
      <c r="G251" s="39" t="s">
        <v>346</v>
      </c>
      <c r="H251" s="7">
        <f t="shared" si="13"/>
        <v>3427.3199999999997</v>
      </c>
    </row>
    <row r="252" spans="1:8" x14ac:dyDescent="0.35">
      <c r="A252" s="3" t="s">
        <v>28</v>
      </c>
      <c r="B252" s="16">
        <v>7.2444420150405935E-5</v>
      </c>
      <c r="C252" s="8" t="s">
        <v>274</v>
      </c>
      <c r="D252" s="33" t="str">
        <f t="shared" si="14"/>
        <v>Yes</v>
      </c>
      <c r="E252" s="26">
        <v>1035.6099999999999</v>
      </c>
      <c r="F252" s="29">
        <v>1786.76</v>
      </c>
      <c r="G252" s="39" t="s">
        <v>346</v>
      </c>
      <c r="H252" s="7">
        <f t="shared" si="13"/>
        <v>2822.37</v>
      </c>
    </row>
    <row r="253" spans="1:8" x14ac:dyDescent="0.35">
      <c r="A253" s="3" t="s">
        <v>22</v>
      </c>
      <c r="B253" s="16">
        <v>2.2496241948760823E-3</v>
      </c>
      <c r="C253" s="8" t="s">
        <v>275</v>
      </c>
      <c r="D253" s="33" t="str">
        <f t="shared" si="14"/>
        <v>No</v>
      </c>
      <c r="E253" s="26">
        <v>32158.78</v>
      </c>
      <c r="F253" s="29">
        <v>55484.39</v>
      </c>
      <c r="G253" s="39" t="s">
        <v>346</v>
      </c>
      <c r="H253" s="7">
        <f t="shared" si="13"/>
        <v>87643.17</v>
      </c>
    </row>
    <row r="254" spans="1:8" x14ac:dyDescent="0.35">
      <c r="A254" s="3" t="s">
        <v>83</v>
      </c>
      <c r="B254" s="16">
        <v>3.1110081270188996E-5</v>
      </c>
      <c r="C254" s="8" t="s">
        <v>276</v>
      </c>
      <c r="D254" s="33" t="str">
        <f t="shared" si="14"/>
        <v>Yes</v>
      </c>
      <c r="E254" s="26">
        <v>444.72</v>
      </c>
      <c r="F254" s="29">
        <v>767.29</v>
      </c>
      <c r="G254" s="39" t="s">
        <v>346</v>
      </c>
      <c r="H254" s="7">
        <f t="shared" si="13"/>
        <v>1212.01</v>
      </c>
    </row>
    <row r="255" spans="1:8" x14ac:dyDescent="0.35">
      <c r="A255" s="3" t="s">
        <v>254</v>
      </c>
      <c r="B255" s="16">
        <v>7.5956312712067208E-5</v>
      </c>
      <c r="C255" s="8" t="s">
        <v>277</v>
      </c>
      <c r="D255" s="33" t="str">
        <f t="shared" si="14"/>
        <v>Yes</v>
      </c>
      <c r="E255" s="26">
        <v>1085.81</v>
      </c>
      <c r="F255" s="29">
        <v>1873.37</v>
      </c>
      <c r="G255" s="39" t="s">
        <v>346</v>
      </c>
      <c r="H255" s="7">
        <f t="shared" si="13"/>
        <v>2959.18</v>
      </c>
    </row>
    <row r="256" spans="1:8" x14ac:dyDescent="0.35">
      <c r="A256" s="3" t="s">
        <v>278</v>
      </c>
      <c r="B256" s="16">
        <v>6.9474875120000001E-4</v>
      </c>
      <c r="C256" s="8" t="s">
        <v>279</v>
      </c>
      <c r="D256" s="33" t="str">
        <f t="shared" si="14"/>
        <v>No</v>
      </c>
      <c r="E256" s="26">
        <v>9931.56</v>
      </c>
      <c r="F256" s="29">
        <v>17135.18</v>
      </c>
      <c r="G256" s="39" t="s">
        <v>346</v>
      </c>
      <c r="H256" s="7">
        <f t="shared" si="13"/>
        <v>27066.739999999998</v>
      </c>
    </row>
    <row r="257" spans="1:8" x14ac:dyDescent="0.35">
      <c r="A257" s="3" t="s">
        <v>22</v>
      </c>
      <c r="B257" s="16">
        <v>2.8792492159318973E-4</v>
      </c>
      <c r="C257" s="8" t="s">
        <v>280</v>
      </c>
      <c r="D257" s="33" t="str">
        <f t="shared" si="14"/>
        <v>No</v>
      </c>
      <c r="E257" s="26">
        <v>4115.9399999999996</v>
      </c>
      <c r="F257" s="29">
        <v>7101.34</v>
      </c>
      <c r="G257" s="39" t="s">
        <v>346</v>
      </c>
      <c r="H257" s="7">
        <f t="shared" si="13"/>
        <v>11217.279999999999</v>
      </c>
    </row>
    <row r="258" spans="1:8" x14ac:dyDescent="0.35">
      <c r="A258" s="3" t="s">
        <v>34</v>
      </c>
      <c r="B258" s="16">
        <v>1.4103252340808051E-3</v>
      </c>
      <c r="C258" s="8" t="s">
        <v>281</v>
      </c>
      <c r="D258" s="33" t="str">
        <f t="shared" si="14"/>
        <v>No</v>
      </c>
      <c r="E258" s="26">
        <v>20160.849999999999</v>
      </c>
      <c r="F258" s="29">
        <v>34784.050000000003</v>
      </c>
      <c r="G258" s="39" t="s">
        <v>346</v>
      </c>
      <c r="H258" s="7">
        <f t="shared" si="13"/>
        <v>54944.9</v>
      </c>
    </row>
    <row r="259" spans="1:8" x14ac:dyDescent="0.35">
      <c r="A259" s="3" t="s">
        <v>282</v>
      </c>
      <c r="B259" s="16">
        <v>4.9641098763200005E-3</v>
      </c>
      <c r="C259" s="8" t="s">
        <v>282</v>
      </c>
      <c r="D259" s="33" t="str">
        <f t="shared" si="14"/>
        <v>No</v>
      </c>
      <c r="E259" s="26">
        <v>70962.84</v>
      </c>
      <c r="F259" s="29">
        <v>122434.05</v>
      </c>
      <c r="G259" s="39" t="s">
        <v>346</v>
      </c>
      <c r="H259" s="7">
        <f t="shared" si="13"/>
        <v>193396.89</v>
      </c>
    </row>
    <row r="260" spans="1:8" x14ac:dyDescent="0.35">
      <c r="A260" s="3" t="s">
        <v>60</v>
      </c>
      <c r="B260" s="16">
        <v>5.757676198157949E-5</v>
      </c>
      <c r="C260" s="8" t="s">
        <v>283</v>
      </c>
      <c r="D260" s="33" t="str">
        <f t="shared" si="14"/>
        <v>Yes</v>
      </c>
      <c r="E260" s="26">
        <v>823.07</v>
      </c>
      <c r="F260" s="29">
        <v>1420.06</v>
      </c>
      <c r="G260" s="39" t="s">
        <v>346</v>
      </c>
      <c r="H260" s="7">
        <f t="shared" si="13"/>
        <v>2243.13</v>
      </c>
    </row>
    <row r="261" spans="1:8" x14ac:dyDescent="0.35">
      <c r="A261" s="3" t="s">
        <v>168</v>
      </c>
      <c r="B261" s="16">
        <v>3.0609535252973091E-7</v>
      </c>
      <c r="C261" s="8" t="s">
        <v>284</v>
      </c>
      <c r="D261" s="33" t="str">
        <f t="shared" si="14"/>
        <v>Yes</v>
      </c>
      <c r="E261" s="26">
        <v>4.38</v>
      </c>
      <c r="F261" s="29">
        <v>7.55</v>
      </c>
      <c r="G261" s="39" t="s">
        <v>346</v>
      </c>
      <c r="H261" s="7">
        <f t="shared" ref="H261:H282" si="15">SUM(E261:G261)</f>
        <v>11.93</v>
      </c>
    </row>
    <row r="262" spans="1:8" x14ac:dyDescent="0.35">
      <c r="A262" s="3" t="s">
        <v>22</v>
      </c>
      <c r="B262" s="16">
        <v>7.6929149136000007E-4</v>
      </c>
      <c r="C262" s="8" t="s">
        <v>285</v>
      </c>
      <c r="D262" s="33" t="str">
        <f t="shared" si="14"/>
        <v>No</v>
      </c>
      <c r="E262" s="26">
        <v>10997.16</v>
      </c>
      <c r="F262" s="29">
        <v>18973.689999999999</v>
      </c>
      <c r="G262" s="39" t="s">
        <v>346</v>
      </c>
      <c r="H262" s="7">
        <f t="shared" si="15"/>
        <v>29970.85</v>
      </c>
    </row>
    <row r="263" spans="1:8" x14ac:dyDescent="0.35">
      <c r="A263" s="3" t="s">
        <v>31</v>
      </c>
      <c r="B263" s="16">
        <v>4.5586529889378655E-3</v>
      </c>
      <c r="C263" s="8" t="s">
        <v>31</v>
      </c>
      <c r="D263" s="33" t="str">
        <f t="shared" si="14"/>
        <v>No</v>
      </c>
      <c r="E263" s="26">
        <v>65166.76</v>
      </c>
      <c r="F263" s="29">
        <v>112433.92</v>
      </c>
      <c r="G263" s="39" t="s">
        <v>346</v>
      </c>
      <c r="H263" s="7">
        <f t="shared" si="15"/>
        <v>177600.68</v>
      </c>
    </row>
    <row r="264" spans="1:8" x14ac:dyDescent="0.35">
      <c r="A264" s="3" t="s">
        <v>63</v>
      </c>
      <c r="B264" s="16">
        <v>5.1656580704585642E-5</v>
      </c>
      <c r="C264" s="8" t="s">
        <v>286</v>
      </c>
      <c r="D264" s="8" t="s">
        <v>337</v>
      </c>
      <c r="E264" s="26">
        <v>0</v>
      </c>
      <c r="F264" s="29">
        <v>0</v>
      </c>
      <c r="G264" s="39" t="s">
        <v>346</v>
      </c>
      <c r="H264" s="7">
        <f t="shared" si="15"/>
        <v>0</v>
      </c>
    </row>
    <row r="265" spans="1:8" x14ac:dyDescent="0.35">
      <c r="A265" s="3" t="s">
        <v>14</v>
      </c>
      <c r="B265" s="16">
        <v>3.4487897129946177E-4</v>
      </c>
      <c r="C265" s="8" t="s">
        <v>287</v>
      </c>
      <c r="D265" s="33" t="str">
        <f t="shared" ref="D265:D282" si="16">IF(B265&lt;0.000083,"Yes","No")</f>
        <v>No</v>
      </c>
      <c r="E265" s="26">
        <v>4930.1099999999997</v>
      </c>
      <c r="F265" s="29">
        <v>8506.0400000000009</v>
      </c>
      <c r="G265" s="39" t="s">
        <v>346</v>
      </c>
      <c r="H265" s="7">
        <f t="shared" si="15"/>
        <v>13436.150000000001</v>
      </c>
    </row>
    <row r="266" spans="1:8" x14ac:dyDescent="0.35">
      <c r="A266" s="3" t="s">
        <v>75</v>
      </c>
      <c r="B266" s="16">
        <v>1.3154129039520002E-2</v>
      </c>
      <c r="C266" s="8" t="s">
        <v>288</v>
      </c>
      <c r="D266" s="33" t="str">
        <f t="shared" si="16"/>
        <v>No</v>
      </c>
      <c r="E266" s="26">
        <v>188040.62</v>
      </c>
      <c r="F266" s="29">
        <v>324431.43</v>
      </c>
      <c r="G266" s="39" t="s">
        <v>346</v>
      </c>
      <c r="H266" s="7">
        <f t="shared" si="15"/>
        <v>512472.05</v>
      </c>
    </row>
    <row r="267" spans="1:8" x14ac:dyDescent="0.35">
      <c r="A267" s="3" t="s">
        <v>75</v>
      </c>
      <c r="B267" s="16">
        <v>4.8332605371401058E-4</v>
      </c>
      <c r="C267" s="8" t="s">
        <v>289</v>
      </c>
      <c r="D267" s="33" t="str">
        <f t="shared" si="16"/>
        <v>No</v>
      </c>
      <c r="E267" s="26">
        <v>6909.23</v>
      </c>
      <c r="F267" s="29">
        <v>11920.68</v>
      </c>
      <c r="G267" s="39" t="s">
        <v>346</v>
      </c>
      <c r="H267" s="7">
        <f t="shared" si="15"/>
        <v>18829.91</v>
      </c>
    </row>
    <row r="268" spans="1:8" x14ac:dyDescent="0.35">
      <c r="A268" s="3" t="s">
        <v>28</v>
      </c>
      <c r="B268" s="16">
        <v>2.6615292034240005E-2</v>
      </c>
      <c r="C268" s="8" t="s">
        <v>28</v>
      </c>
      <c r="D268" s="33" t="str">
        <f t="shared" si="16"/>
        <v>No</v>
      </c>
      <c r="E268" s="26">
        <v>380470.35</v>
      </c>
      <c r="F268" s="29">
        <v>656435.5</v>
      </c>
      <c r="G268" s="39" t="s">
        <v>346</v>
      </c>
      <c r="H268" s="7">
        <f t="shared" si="15"/>
        <v>1036905.85</v>
      </c>
    </row>
    <row r="269" spans="1:8" x14ac:dyDescent="0.35">
      <c r="A269" s="3" t="s">
        <v>34</v>
      </c>
      <c r="B269" s="16">
        <v>1.306353444363766E-3</v>
      </c>
      <c r="C269" s="8" t="s">
        <v>290</v>
      </c>
      <c r="D269" s="33" t="str">
        <f t="shared" si="16"/>
        <v>No</v>
      </c>
      <c r="E269" s="26">
        <v>18674.560000000001</v>
      </c>
      <c r="F269" s="29">
        <v>32219.7</v>
      </c>
      <c r="G269" s="39" t="s">
        <v>346</v>
      </c>
      <c r="H269" s="7">
        <f t="shared" si="15"/>
        <v>50894.26</v>
      </c>
    </row>
    <row r="270" spans="1:8" x14ac:dyDescent="0.35">
      <c r="A270" s="3" t="s">
        <v>22</v>
      </c>
      <c r="B270" s="16">
        <v>9.3847771248000008E-4</v>
      </c>
      <c r="C270" s="8" t="s">
        <v>291</v>
      </c>
      <c r="D270" s="33" t="str">
        <f t="shared" si="16"/>
        <v>No</v>
      </c>
      <c r="E270" s="26">
        <v>13415.71</v>
      </c>
      <c r="F270" s="29">
        <v>23146.47</v>
      </c>
      <c r="G270" s="39" t="s">
        <v>346</v>
      </c>
      <c r="H270" s="7">
        <f t="shared" si="15"/>
        <v>36562.18</v>
      </c>
    </row>
    <row r="271" spans="1:8" x14ac:dyDescent="0.35">
      <c r="A271" s="3" t="s">
        <v>22</v>
      </c>
      <c r="B271" s="16">
        <v>0.11408752734624</v>
      </c>
      <c r="C271" s="8" t="s">
        <v>22</v>
      </c>
      <c r="D271" s="33" t="str">
        <f t="shared" si="16"/>
        <v>No</v>
      </c>
      <c r="E271" s="26">
        <v>1630901.55</v>
      </c>
      <c r="F271" s="29">
        <v>2813837.35</v>
      </c>
      <c r="G271" s="39" t="s">
        <v>346</v>
      </c>
      <c r="H271" s="7">
        <f t="shared" si="15"/>
        <v>4444738.9000000004</v>
      </c>
    </row>
    <row r="272" spans="1:8" ht="18.75" customHeight="1" x14ac:dyDescent="0.35">
      <c r="A272" s="3" t="s">
        <v>34</v>
      </c>
      <c r="B272" s="16">
        <v>1.5671696722706324E-3</v>
      </c>
      <c r="C272" s="8" t="s">
        <v>292</v>
      </c>
      <c r="D272" s="33" t="str">
        <f t="shared" si="16"/>
        <v>No</v>
      </c>
      <c r="E272" s="26">
        <v>22402.97</v>
      </c>
      <c r="F272" s="29">
        <v>38652.43</v>
      </c>
      <c r="G272" s="39" t="s">
        <v>346</v>
      </c>
      <c r="H272" s="7">
        <f t="shared" si="15"/>
        <v>61055.4</v>
      </c>
    </row>
    <row r="273" spans="1:8" x14ac:dyDescent="0.35">
      <c r="A273" s="3" t="s">
        <v>22</v>
      </c>
      <c r="B273" s="16">
        <v>3.6531164913600001E-3</v>
      </c>
      <c r="C273" s="8" t="s">
        <v>293</v>
      </c>
      <c r="D273" s="33" t="str">
        <f t="shared" si="16"/>
        <v>No</v>
      </c>
      <c r="E273" s="26">
        <v>52221.95</v>
      </c>
      <c r="F273" s="29">
        <v>90099.91</v>
      </c>
      <c r="G273" s="39" t="s">
        <v>346</v>
      </c>
      <c r="H273" s="7">
        <f t="shared" si="15"/>
        <v>142321.85999999999</v>
      </c>
    </row>
    <row r="274" spans="1:8" x14ac:dyDescent="0.35">
      <c r="A274" s="3" t="s">
        <v>66</v>
      </c>
      <c r="B274" s="16">
        <v>3.3453814497600002E-3</v>
      </c>
      <c r="C274" s="8" t="s">
        <v>66</v>
      </c>
      <c r="D274" s="33" t="str">
        <f t="shared" si="16"/>
        <v>No</v>
      </c>
      <c r="E274" s="26">
        <v>47822.82</v>
      </c>
      <c r="F274" s="29">
        <v>82509.98</v>
      </c>
      <c r="G274" s="39" t="s">
        <v>346</v>
      </c>
      <c r="H274" s="7">
        <f t="shared" si="15"/>
        <v>130332.79999999999</v>
      </c>
    </row>
    <row r="275" spans="1:8" x14ac:dyDescent="0.35">
      <c r="A275" s="3" t="s">
        <v>34</v>
      </c>
      <c r="B275" s="16">
        <v>3.4982406091484461E-4</v>
      </c>
      <c r="C275" s="8" t="s">
        <v>294</v>
      </c>
      <c r="D275" s="33" t="str">
        <f t="shared" si="16"/>
        <v>No</v>
      </c>
      <c r="E275" s="26">
        <v>5000.8</v>
      </c>
      <c r="F275" s="29">
        <v>8628.01</v>
      </c>
      <c r="G275" s="39" t="s">
        <v>346</v>
      </c>
      <c r="H275" s="7">
        <f t="shared" si="15"/>
        <v>13628.810000000001</v>
      </c>
    </row>
    <row r="276" spans="1:8" x14ac:dyDescent="0.35">
      <c r="A276" s="3" t="s">
        <v>34</v>
      </c>
      <c r="B276" s="16">
        <v>2.2074607648649763E-4</v>
      </c>
      <c r="C276" s="8" t="s">
        <v>295</v>
      </c>
      <c r="D276" s="33" t="str">
        <f t="shared" si="16"/>
        <v>No</v>
      </c>
      <c r="E276" s="26">
        <v>3155.6</v>
      </c>
      <c r="F276" s="29">
        <v>5444.45</v>
      </c>
      <c r="G276" s="39" t="s">
        <v>346</v>
      </c>
      <c r="H276" s="7">
        <f t="shared" si="15"/>
        <v>8600.0499999999993</v>
      </c>
    </row>
    <row r="277" spans="1:8" x14ac:dyDescent="0.35">
      <c r="A277" s="3" t="s">
        <v>22</v>
      </c>
      <c r="B277" s="16">
        <v>3.4175249817315688E-4</v>
      </c>
      <c r="C277" s="8" t="s">
        <v>296</v>
      </c>
      <c r="D277" s="33" t="str">
        <f t="shared" si="16"/>
        <v>No</v>
      </c>
      <c r="E277" s="26">
        <v>4885.41</v>
      </c>
      <c r="F277" s="29">
        <v>8428.93</v>
      </c>
      <c r="G277" s="39" t="s">
        <v>346</v>
      </c>
      <c r="H277" s="7">
        <f t="shared" si="15"/>
        <v>13314.34</v>
      </c>
    </row>
    <row r="278" spans="1:8" x14ac:dyDescent="0.35">
      <c r="A278" s="3" t="s">
        <v>22</v>
      </c>
      <c r="B278" s="16">
        <v>5.8366538543403043E-4</v>
      </c>
      <c r="C278" s="8" t="s">
        <v>297</v>
      </c>
      <c r="D278" s="33" t="str">
        <f t="shared" si="16"/>
        <v>No</v>
      </c>
      <c r="E278" s="26">
        <v>8343.6</v>
      </c>
      <c r="F278" s="29">
        <v>14395.43</v>
      </c>
      <c r="G278" s="39" t="s">
        <v>346</v>
      </c>
      <c r="H278" s="7">
        <f t="shared" si="15"/>
        <v>22739.03</v>
      </c>
    </row>
    <row r="279" spans="1:8" x14ac:dyDescent="0.35">
      <c r="A279" s="3" t="s">
        <v>14</v>
      </c>
      <c r="B279" s="16">
        <v>1.526406853995849E-3</v>
      </c>
      <c r="C279" s="8" t="s">
        <v>298</v>
      </c>
      <c r="D279" s="33" t="str">
        <f t="shared" si="16"/>
        <v>No</v>
      </c>
      <c r="E279" s="26">
        <v>21820.26</v>
      </c>
      <c r="F279" s="29">
        <v>37647.07</v>
      </c>
      <c r="G279" s="39" t="s">
        <v>346</v>
      </c>
      <c r="H279" s="7">
        <f t="shared" si="15"/>
        <v>59467.33</v>
      </c>
    </row>
    <row r="280" spans="1:8" x14ac:dyDescent="0.35">
      <c r="A280" s="3" t="s">
        <v>28</v>
      </c>
      <c r="B280" s="16">
        <v>3.4585485351294921E-4</v>
      </c>
      <c r="C280" s="8" t="s">
        <v>299</v>
      </c>
      <c r="D280" s="33" t="str">
        <f t="shared" si="16"/>
        <v>No</v>
      </c>
      <c r="E280" s="26">
        <v>4944.0600000000004</v>
      </c>
      <c r="F280" s="29">
        <v>8530.11</v>
      </c>
      <c r="G280" s="39" t="s">
        <v>346</v>
      </c>
      <c r="H280" s="7">
        <f t="shared" si="15"/>
        <v>13474.170000000002</v>
      </c>
    </row>
    <row r="281" spans="1:8" x14ac:dyDescent="0.35">
      <c r="A281" s="3" t="s">
        <v>28</v>
      </c>
      <c r="B281" s="16">
        <v>5.3695276199727988E-4</v>
      </c>
      <c r="C281" s="8" t="s">
        <v>300</v>
      </c>
      <c r="D281" s="33" t="str">
        <f t="shared" si="16"/>
        <v>No</v>
      </c>
      <c r="E281" s="26">
        <v>7675.84</v>
      </c>
      <c r="F281" s="29">
        <v>13243.32</v>
      </c>
      <c r="G281" s="39" t="s">
        <v>346</v>
      </c>
      <c r="H281" s="7">
        <f t="shared" si="15"/>
        <v>20919.16</v>
      </c>
    </row>
    <row r="282" spans="1:8" x14ac:dyDescent="0.35">
      <c r="A282" s="3" t="s">
        <v>24</v>
      </c>
      <c r="B282" s="16">
        <v>3.6753988866981733E-5</v>
      </c>
      <c r="C282" s="8" t="s">
        <v>301</v>
      </c>
      <c r="D282" s="33" t="str">
        <f t="shared" si="16"/>
        <v>Yes</v>
      </c>
      <c r="E282" s="26">
        <v>525.4</v>
      </c>
      <c r="F282" s="70">
        <v>906.49</v>
      </c>
      <c r="G282" s="39" t="s">
        <v>346</v>
      </c>
      <c r="H282" s="7">
        <f t="shared" si="15"/>
        <v>1431.8899999999999</v>
      </c>
    </row>
    <row r="283" spans="1:8" x14ac:dyDescent="0.35">
      <c r="A283" s="8" t="s">
        <v>270</v>
      </c>
      <c r="B283" s="20"/>
      <c r="C283" s="8" t="s">
        <v>270</v>
      </c>
      <c r="D283" s="8"/>
      <c r="E283" s="58">
        <v>17335859.610000018</v>
      </c>
      <c r="F283" s="58">
        <v>28284823.57000003</v>
      </c>
      <c r="G283" s="7"/>
      <c r="H283" s="7">
        <f>SUM(E283:G283)</f>
        <v>45620683.180000052</v>
      </c>
    </row>
    <row r="285" spans="1:8" x14ac:dyDescent="0.35">
      <c r="B285" s="3" t="s">
        <v>340</v>
      </c>
    </row>
  </sheetData>
  <sheetProtection algorithmName="SHA-512" hashValue="PzWnl1/kDsemYgG8b3GlbhEQYCoczmRZgwfxdgDKBke44BNsX/JTxnpjMaJrjxPSHoVi6AsW/vJG+9yJKDX2dw==" saltValue="jaVg1P89OMlhPOPRv3h/JA==" spinCount="100000" sheet="1" sort="0" autoFilter="0" pivotTables="0"/>
  <autoFilter ref="A3:H283" xr:uid="{A817AFE2-400E-4528-B798-D605BB194E27}"/>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A85E-7769-4197-AE8F-03B574469F6C}">
  <sheetPr codeName="Sheet2"/>
  <dimension ref="A1:S286"/>
  <sheetViews>
    <sheetView workbookViewId="0">
      <selection activeCell="Q62" sqref="Q62"/>
    </sheetView>
  </sheetViews>
  <sheetFormatPr defaultColWidth="9.109375" defaultRowHeight="18" x14ac:dyDescent="0.35"/>
  <cols>
    <col min="1" max="1" width="28.109375" style="3" customWidth="1"/>
    <col min="2" max="2" width="43.88671875" style="3" bestFit="1" customWidth="1"/>
    <col min="3" max="3" width="19.5546875" style="23" customWidth="1"/>
    <col min="4" max="4" width="18.88671875" style="23" customWidth="1"/>
    <col min="5" max="5" width="19.88671875" style="26" customWidth="1"/>
    <col min="6" max="6" width="21.109375" style="26" customWidth="1"/>
    <col min="7" max="7" width="17.6640625" style="26" customWidth="1"/>
    <col min="8" max="11" width="21.109375" style="26" customWidth="1"/>
    <col min="12" max="12" width="20" style="26" customWidth="1"/>
    <col min="13" max="14" width="21.109375" style="26" customWidth="1"/>
    <col min="15" max="16" width="19.5546875" style="23" customWidth="1"/>
    <col min="17" max="17" width="20.44140625" style="23" customWidth="1"/>
    <col min="18" max="18" width="19.109375" style="23" customWidth="1"/>
    <col min="19" max="19" width="23.5546875" style="60" customWidth="1"/>
    <col min="20" max="16384" width="9.109375" style="3"/>
  </cols>
  <sheetData>
    <row r="1" spans="1:19" ht="24.6" x14ac:dyDescent="0.4">
      <c r="A1" s="22" t="s">
        <v>2</v>
      </c>
    </row>
    <row r="2" spans="1:19" x14ac:dyDescent="0.35">
      <c r="A2" s="11"/>
      <c r="B2" s="11"/>
      <c r="L2" s="61"/>
    </row>
    <row r="3" spans="1:19" s="5" customFormat="1" x14ac:dyDescent="0.35">
      <c r="A3" s="63" t="s">
        <v>3</v>
      </c>
      <c r="B3" s="63" t="s">
        <v>4</v>
      </c>
      <c r="C3" s="63" t="s">
        <v>9</v>
      </c>
      <c r="D3" s="63" t="s">
        <v>10</v>
      </c>
      <c r="E3" s="64" t="s">
        <v>6</v>
      </c>
      <c r="F3" s="64" t="s">
        <v>7</v>
      </c>
      <c r="G3" s="64" t="s">
        <v>465</v>
      </c>
      <c r="H3" s="64" t="s">
        <v>431</v>
      </c>
      <c r="I3" s="64" t="s">
        <v>452</v>
      </c>
      <c r="J3" s="64" t="s">
        <v>418</v>
      </c>
      <c r="K3" s="64" t="s">
        <v>435</v>
      </c>
      <c r="L3" s="64" t="s">
        <v>5</v>
      </c>
      <c r="M3" s="64" t="s">
        <v>419</v>
      </c>
      <c r="N3" s="64" t="s">
        <v>432</v>
      </c>
      <c r="O3" s="63" t="s">
        <v>8</v>
      </c>
      <c r="P3" s="63" t="s">
        <v>461</v>
      </c>
      <c r="Q3" s="63" t="s">
        <v>463</v>
      </c>
      <c r="R3" s="63" t="s">
        <v>11</v>
      </c>
      <c r="S3" s="63" t="s">
        <v>13</v>
      </c>
    </row>
    <row r="4" spans="1:19" x14ac:dyDescent="0.35">
      <c r="A4" s="3" t="s">
        <v>14</v>
      </c>
      <c r="B4" s="14" t="s">
        <v>15</v>
      </c>
      <c r="C4" s="26">
        <f>Allergan!$M4</f>
        <v>0</v>
      </c>
      <c r="D4" s="26">
        <f>CVS!$P4</f>
        <v>0</v>
      </c>
      <c r="E4" s="26">
        <f>Distributors!$Z4</f>
        <v>11647.954295137126</v>
      </c>
      <c r="F4" s="26">
        <f>Janssen!$S4</f>
        <v>2738.0043517244503</v>
      </c>
      <c r="G4" s="26">
        <v>0</v>
      </c>
      <c r="H4" s="26">
        <f>Kroger!P4</f>
        <v>1485.9130949679079</v>
      </c>
      <c r="I4" s="26">
        <v>0</v>
      </c>
      <c r="J4" s="26">
        <v>0</v>
      </c>
      <c r="K4" s="26">
        <f>Masters!C4</f>
        <v>0</v>
      </c>
      <c r="L4" s="62">
        <v>0</v>
      </c>
      <c r="M4" s="26">
        <v>0</v>
      </c>
      <c r="N4" s="26">
        <v>0</v>
      </c>
      <c r="O4" s="26">
        <f>Teva!$S4</f>
        <v>0</v>
      </c>
      <c r="P4" s="26"/>
      <c r="Q4" s="26">
        <f>'Walgreens National'!U4</f>
        <v>78</v>
      </c>
      <c r="R4" s="26">
        <f>Walmart!$H4</f>
        <v>0</v>
      </c>
      <c r="S4" s="61">
        <f t="shared" ref="S4:S67" si="0">SUM(C4:R4)</f>
        <v>15949.871741829484</v>
      </c>
    </row>
    <row r="5" spans="1:19" x14ac:dyDescent="0.35">
      <c r="A5" s="3" t="s">
        <v>16</v>
      </c>
      <c r="B5" s="14" t="s">
        <v>17</v>
      </c>
      <c r="C5" s="26">
        <f>Allergan!$M5</f>
        <v>9945.0261797654239</v>
      </c>
      <c r="D5" s="26">
        <f>CVS!$P5</f>
        <v>21404.437573202111</v>
      </c>
      <c r="E5" s="26">
        <f>Distributors!$Z5</f>
        <v>90400.570900733335</v>
      </c>
      <c r="F5" s="26">
        <f>Janssen!$S5</f>
        <v>21249.867689844421</v>
      </c>
      <c r="G5" s="26">
        <v>0</v>
      </c>
      <c r="H5" s="26">
        <f>Kroger!P5</f>
        <v>11532.274485921429</v>
      </c>
      <c r="I5" s="26">
        <v>0</v>
      </c>
      <c r="J5" s="26">
        <v>0</v>
      </c>
      <c r="K5" s="26">
        <f>Masters!C5</f>
        <v>0</v>
      </c>
      <c r="L5" s="62">
        <v>0</v>
      </c>
      <c r="M5" s="26">
        <v>0</v>
      </c>
      <c r="N5" s="26">
        <v>0</v>
      </c>
      <c r="O5" s="26">
        <f>Teva!$S5</f>
        <v>16247.960663340566</v>
      </c>
      <c r="P5" s="26"/>
      <c r="Q5" s="26">
        <f>'Walgreens National'!U5</f>
        <v>23257.403648636649</v>
      </c>
      <c r="R5" s="26">
        <f>Walmart!$H5</f>
        <v>13231.52</v>
      </c>
      <c r="S5" s="61">
        <f t="shared" si="0"/>
        <v>207269.06114144393</v>
      </c>
    </row>
    <row r="6" spans="1:19" x14ac:dyDescent="0.35">
      <c r="A6" s="3" t="s">
        <v>18</v>
      </c>
      <c r="B6" s="14" t="s">
        <v>18</v>
      </c>
      <c r="C6" s="26">
        <f>Allergan!$M6</f>
        <v>27368.041253846321</v>
      </c>
      <c r="D6" s="26">
        <f>CVS!$P6</f>
        <v>58903.597417631747</v>
      </c>
      <c r="E6" s="26">
        <f>Distributors!$Z6</f>
        <v>264755.87342136231</v>
      </c>
      <c r="F6" s="26">
        <f>Janssen!$S6</f>
        <v>61103.542436539996</v>
      </c>
      <c r="G6" s="26">
        <v>0</v>
      </c>
      <c r="H6" s="26">
        <f>Kroger!P6</f>
        <v>16931.891487985082</v>
      </c>
      <c r="I6" s="26">
        <v>0</v>
      </c>
      <c r="J6" s="26">
        <v>0</v>
      </c>
      <c r="K6" s="26">
        <f>Masters!C6</f>
        <v>0</v>
      </c>
      <c r="L6" s="62">
        <v>0</v>
      </c>
      <c r="M6" s="26">
        <v>0</v>
      </c>
      <c r="N6" s="26">
        <v>0</v>
      </c>
      <c r="O6" s="26">
        <f>Teva!$S6</f>
        <v>44713.31020322007</v>
      </c>
      <c r="P6" s="26"/>
      <c r="Q6" s="26">
        <f>'Walgreens National'!U6</f>
        <v>64002.841194383036</v>
      </c>
      <c r="R6" s="26">
        <f>Walmart!$H6</f>
        <v>36412.270000000004</v>
      </c>
      <c r="S6" s="61">
        <f t="shared" si="0"/>
        <v>574191.36741496855</v>
      </c>
    </row>
    <row r="7" spans="1:19" x14ac:dyDescent="0.35">
      <c r="A7" s="3" t="s">
        <v>19</v>
      </c>
      <c r="B7" s="14" t="s">
        <v>19</v>
      </c>
      <c r="C7" s="26">
        <f>Allergan!$M7</f>
        <v>25754.472052123372</v>
      </c>
      <c r="D7" s="26">
        <f>CVS!$P7</f>
        <v>55430.762463250285</v>
      </c>
      <c r="E7" s="26">
        <f>Distributors!$Z7</f>
        <v>249146.39071031861</v>
      </c>
      <c r="F7" s="26">
        <f>Janssen!$S7</f>
        <v>57500.994943738449</v>
      </c>
      <c r="G7" s="26">
        <v>0</v>
      </c>
      <c r="H7" s="26">
        <f>Kroger!P7</f>
        <v>15933.62035867363</v>
      </c>
      <c r="I7" s="26">
        <v>0</v>
      </c>
      <c r="J7" s="26">
        <v>0</v>
      </c>
      <c r="K7" s="26">
        <f>Masters!C7</f>
        <v>324.83999999999997</v>
      </c>
      <c r="L7" s="62">
        <v>0</v>
      </c>
      <c r="M7" s="26">
        <v>0</v>
      </c>
      <c r="N7" s="26">
        <v>0</v>
      </c>
      <c r="O7" s="26">
        <f>Teva!$S7</f>
        <v>42077.093844435185</v>
      </c>
      <c r="P7" s="26"/>
      <c r="Q7" s="26">
        <f>'Walgreens National'!U7</f>
        <v>60229.355611898034</v>
      </c>
      <c r="R7" s="26">
        <f>Walmart!$H7</f>
        <v>34265.479999999996</v>
      </c>
      <c r="S7" s="61">
        <f t="shared" si="0"/>
        <v>540663.00998443761</v>
      </c>
    </row>
    <row r="8" spans="1:19" x14ac:dyDescent="0.35">
      <c r="A8" s="3" t="s">
        <v>14</v>
      </c>
      <c r="B8" s="14" t="s">
        <v>20</v>
      </c>
      <c r="C8" s="26">
        <f>Allergan!$M8</f>
        <v>0</v>
      </c>
      <c r="D8" s="26">
        <f>CVS!$P8</f>
        <v>0</v>
      </c>
      <c r="E8" s="26">
        <f>Distributors!$Z8</f>
        <v>0</v>
      </c>
      <c r="F8" s="26">
        <f>Janssen!$S8</f>
        <v>0</v>
      </c>
      <c r="G8" s="26">
        <v>0</v>
      </c>
      <c r="H8" s="26">
        <f>Kroger!P8</f>
        <v>595.42533777397125</v>
      </c>
      <c r="I8" s="26">
        <v>0</v>
      </c>
      <c r="J8" s="26">
        <v>0</v>
      </c>
      <c r="K8" s="26">
        <f>Masters!C8</f>
        <v>0</v>
      </c>
      <c r="L8" s="62">
        <v>0</v>
      </c>
      <c r="M8" s="26">
        <v>0</v>
      </c>
      <c r="N8" s="26">
        <v>0</v>
      </c>
      <c r="O8" s="26">
        <f>Teva!$S8</f>
        <v>0</v>
      </c>
      <c r="P8" s="26"/>
      <c r="Q8" s="26">
        <f>'Walgreens National'!U8</f>
        <v>1067.4801951927682</v>
      </c>
      <c r="R8" s="26">
        <f>Walmart!$H8</f>
        <v>0</v>
      </c>
      <c r="S8" s="61">
        <f t="shared" si="0"/>
        <v>1662.9055329667394</v>
      </c>
    </row>
    <row r="9" spans="1:19" x14ac:dyDescent="0.35">
      <c r="A9" s="3" t="s">
        <v>21</v>
      </c>
      <c r="B9" s="14" t="s">
        <v>21</v>
      </c>
      <c r="C9" s="26">
        <f>Allergan!$M9</f>
        <v>135183.15413168268</v>
      </c>
      <c r="D9" s="26">
        <f>CVS!$P9</f>
        <v>290951.55377976858</v>
      </c>
      <c r="E9" s="26">
        <f>Distributors!$Z9</f>
        <v>1228819.2124877505</v>
      </c>
      <c r="F9" s="26">
        <f>Janssen!$S9</f>
        <v>288850.54339079827</v>
      </c>
      <c r="G9" s="26">
        <v>0</v>
      </c>
      <c r="H9" s="26">
        <f>Kroger!P9</f>
        <v>156758.75055882911</v>
      </c>
      <c r="I9" s="26">
        <v>0</v>
      </c>
      <c r="J9" s="26">
        <v>0</v>
      </c>
      <c r="K9" s="26">
        <f>Masters!C9</f>
        <v>0</v>
      </c>
      <c r="L9" s="62">
        <v>0</v>
      </c>
      <c r="M9" s="26">
        <v>0</v>
      </c>
      <c r="N9" s="26">
        <v>0</v>
      </c>
      <c r="O9" s="26">
        <f>Teva!$S9</f>
        <v>220859.26538516284</v>
      </c>
      <c r="P9" s="26"/>
      <c r="Q9" s="26">
        <f>'Walgreens National'!U9</f>
        <v>316138.98230348638</v>
      </c>
      <c r="R9" s="26">
        <f>Walmart!$H9</f>
        <v>179856.73</v>
      </c>
      <c r="S9" s="61">
        <f t="shared" si="0"/>
        <v>2817418.1920374781</v>
      </c>
    </row>
    <row r="10" spans="1:19" x14ac:dyDescent="0.35">
      <c r="A10" s="3" t="s">
        <v>22</v>
      </c>
      <c r="B10" s="14" t="s">
        <v>23</v>
      </c>
      <c r="C10" s="26">
        <f>Allergan!$M10</f>
        <v>18805.115100596322</v>
      </c>
      <c r="D10" s="26">
        <f>CVS!$P10</f>
        <v>40473.810661594849</v>
      </c>
      <c r="E10" s="26">
        <f>Distributors!$Z10</f>
        <v>170939.1178360926</v>
      </c>
      <c r="F10" s="26">
        <f>Janssen!$S10</f>
        <v>40181.534101624748</v>
      </c>
      <c r="G10" s="26">
        <v>0</v>
      </c>
      <c r="H10" s="26">
        <f>Kroger!P10</f>
        <v>21806.464666250384</v>
      </c>
      <c r="I10" s="26">
        <v>0</v>
      </c>
      <c r="J10" s="26">
        <v>0</v>
      </c>
      <c r="K10" s="26">
        <f>Masters!C10</f>
        <v>0</v>
      </c>
      <c r="L10" s="62">
        <v>0</v>
      </c>
      <c r="M10" s="26">
        <v>0</v>
      </c>
      <c r="N10" s="26">
        <v>0</v>
      </c>
      <c r="O10" s="26">
        <f>Teva!$S10</f>
        <v>30723.387347677988</v>
      </c>
      <c r="P10" s="26"/>
      <c r="Q10" s="26">
        <f>'Walgreens National'!U10</f>
        <v>43977.600268672584</v>
      </c>
      <c r="R10" s="26">
        <f>Walmart!$H10</f>
        <v>25019.59</v>
      </c>
      <c r="S10" s="61">
        <f t="shared" si="0"/>
        <v>391926.61998250952</v>
      </c>
    </row>
    <row r="11" spans="1:19" x14ac:dyDescent="0.35">
      <c r="A11" s="3" t="s">
        <v>24</v>
      </c>
      <c r="B11" s="14" t="s">
        <v>25</v>
      </c>
      <c r="C11" s="26">
        <f>Allergan!$M11</f>
        <v>0</v>
      </c>
      <c r="D11" s="26">
        <f>CVS!$P11</f>
        <v>0</v>
      </c>
      <c r="E11" s="26">
        <f>Distributors!$Z11</f>
        <v>9879.1401861405338</v>
      </c>
      <c r="F11" s="26">
        <f>Janssen!$S11</f>
        <v>2907.8472303298418</v>
      </c>
      <c r="G11" s="26">
        <v>0</v>
      </c>
      <c r="H11" s="26">
        <f>Kroger!P11</f>
        <v>1578.0897648331045</v>
      </c>
      <c r="I11" s="26">
        <v>0</v>
      </c>
      <c r="J11" s="26">
        <v>0</v>
      </c>
      <c r="K11" s="26">
        <f>Masters!C11</f>
        <v>0</v>
      </c>
      <c r="L11" s="62">
        <v>0</v>
      </c>
      <c r="M11" s="26">
        <v>0</v>
      </c>
      <c r="N11" s="26">
        <v>0</v>
      </c>
      <c r="O11" s="26">
        <f>Teva!$S11</f>
        <v>0</v>
      </c>
      <c r="P11" s="26"/>
      <c r="Q11" s="26">
        <f>'Walgreens National'!U11</f>
        <v>2829.2037025055752</v>
      </c>
      <c r="R11" s="26">
        <f>Walmart!$H11</f>
        <v>0</v>
      </c>
      <c r="S11" s="61">
        <f t="shared" si="0"/>
        <v>17194.280883809057</v>
      </c>
    </row>
    <row r="12" spans="1:19" ht="18.75" customHeight="1" x14ac:dyDescent="0.35">
      <c r="A12" s="3" t="s">
        <v>26</v>
      </c>
      <c r="B12" s="14" t="s">
        <v>26</v>
      </c>
      <c r="C12" s="26">
        <f>Allergan!$M12</f>
        <v>104027.07347383576</v>
      </c>
      <c r="D12" s="26">
        <f>CVS!$P12</f>
        <v>223895.06297148755</v>
      </c>
      <c r="E12" s="26">
        <f>Distributors!$Z12</f>
        <v>1006348.1100273734</v>
      </c>
      <c r="F12" s="26">
        <f>Janssen!$S12</f>
        <v>232257.08875013847</v>
      </c>
      <c r="G12" s="26">
        <v>0</v>
      </c>
      <c r="H12" s="26">
        <f>Kroger!P12</f>
        <v>64358.825835772215</v>
      </c>
      <c r="I12" s="26">
        <v>0</v>
      </c>
      <c r="J12" s="26">
        <v>0</v>
      </c>
      <c r="K12" s="26">
        <f>Masters!C12</f>
        <v>0</v>
      </c>
      <c r="L12" s="62">
        <v>0</v>
      </c>
      <c r="M12" s="26">
        <v>0</v>
      </c>
      <c r="N12" s="26">
        <v>0</v>
      </c>
      <c r="O12" s="26">
        <f>Teva!$S12</f>
        <v>169957.14998072333</v>
      </c>
      <c r="P12" s="26"/>
      <c r="Q12" s="26">
        <f>'Walgreens National'!U12</f>
        <v>243277.45638662655</v>
      </c>
      <c r="R12" s="26">
        <f>Walmart!$H12</f>
        <v>138404.59</v>
      </c>
      <c r="S12" s="61">
        <f t="shared" si="0"/>
        <v>2182525.3574259575</v>
      </c>
    </row>
    <row r="13" spans="1:19" x14ac:dyDescent="0.35">
      <c r="A13" s="3" t="s">
        <v>14</v>
      </c>
      <c r="B13" s="14" t="s">
        <v>27</v>
      </c>
      <c r="C13" s="26">
        <f>Allergan!$M13</f>
        <v>455.66</v>
      </c>
      <c r="D13" s="26">
        <f>CVS!$P13</f>
        <v>1013.6</v>
      </c>
      <c r="E13" s="26">
        <f>Distributors!$Z13</f>
        <v>3816.51</v>
      </c>
      <c r="F13" s="26">
        <f>Janssen!$S13</f>
        <v>1008.4300000000001</v>
      </c>
      <c r="G13" s="26">
        <v>0</v>
      </c>
      <c r="H13" s="26">
        <f>Kroger!P13</f>
        <v>515.91750883203781</v>
      </c>
      <c r="I13" s="26">
        <v>0</v>
      </c>
      <c r="J13" s="26">
        <v>0</v>
      </c>
      <c r="K13" s="26">
        <f>Masters!C13</f>
        <v>0</v>
      </c>
      <c r="L13" s="62">
        <v>0</v>
      </c>
      <c r="M13" s="26">
        <v>0</v>
      </c>
      <c r="N13" s="26">
        <v>0</v>
      </c>
      <c r="O13" s="26">
        <f>Teva!$S13</f>
        <v>731.59671734723997</v>
      </c>
      <c r="P13" s="26"/>
      <c r="Q13" s="26">
        <f>'Walgreens National'!U13</f>
        <v>2024.6683391884687</v>
      </c>
      <c r="R13" s="26">
        <f>Walmart!$H13</f>
        <v>591.94000000000005</v>
      </c>
      <c r="S13" s="61">
        <f t="shared" si="0"/>
        <v>10158.322565367747</v>
      </c>
    </row>
    <row r="14" spans="1:19" x14ac:dyDescent="0.35">
      <c r="A14" s="3" t="s">
        <v>28</v>
      </c>
      <c r="B14" s="14" t="s">
        <v>29</v>
      </c>
      <c r="C14" s="26">
        <f>Allergan!$M14</f>
        <v>81052.535599503171</v>
      </c>
      <c r="D14" s="26">
        <f>CVS!$P14</f>
        <v>174447.4825943858</v>
      </c>
      <c r="E14" s="26">
        <f>Distributors!$Z14</f>
        <v>736770.11701882537</v>
      </c>
      <c r="F14" s="26">
        <f>Janssen!$S14</f>
        <v>173187.75116064871</v>
      </c>
      <c r="G14" s="26">
        <v>0</v>
      </c>
      <c r="H14" s="26">
        <f>Kroger!P14</f>
        <v>93988.733634884906</v>
      </c>
      <c r="I14" s="26">
        <v>0</v>
      </c>
      <c r="J14" s="26">
        <v>0</v>
      </c>
      <c r="K14" s="26">
        <f>Masters!C14</f>
        <v>0</v>
      </c>
      <c r="L14" s="62">
        <v>0</v>
      </c>
      <c r="M14" s="26">
        <v>0</v>
      </c>
      <c r="N14" s="26">
        <v>0</v>
      </c>
      <c r="O14" s="26">
        <f>Teva!$S14</f>
        <v>132421.83958657825</v>
      </c>
      <c r="P14" s="26"/>
      <c r="Q14" s="26">
        <f>'Walgreens National'!U14</f>
        <v>189549.24205730701</v>
      </c>
      <c r="R14" s="26">
        <f>Walmart!$H14</f>
        <v>107837.72</v>
      </c>
      <c r="S14" s="61">
        <f t="shared" si="0"/>
        <v>1689255.4216521331</v>
      </c>
    </row>
    <row r="15" spans="1:19" x14ac:dyDescent="0.35">
      <c r="A15" s="3" t="s">
        <v>30</v>
      </c>
      <c r="B15" s="14" t="s">
        <v>30</v>
      </c>
      <c r="C15" s="26">
        <f>Allergan!$M15</f>
        <v>78087.673274877394</v>
      </c>
      <c r="D15" s="26">
        <f>CVS!$P15</f>
        <v>168066.273787382</v>
      </c>
      <c r="E15" s="26">
        <f>Distributors!$Z15</f>
        <v>755412.75216672244</v>
      </c>
      <c r="F15" s="26">
        <f>Janssen!$S15</f>
        <v>174343.21545170338</v>
      </c>
      <c r="G15" s="26">
        <v>0</v>
      </c>
      <c r="H15" s="26">
        <f>Kroger!P15</f>
        <v>48310.795385649275</v>
      </c>
      <c r="I15" s="26">
        <v>0</v>
      </c>
      <c r="J15" s="26">
        <v>0</v>
      </c>
      <c r="K15" s="26">
        <f>Masters!C15</f>
        <v>4572.13</v>
      </c>
      <c r="L15" s="62">
        <v>0</v>
      </c>
      <c r="M15" s="26">
        <v>0</v>
      </c>
      <c r="N15" s="26">
        <v>0</v>
      </c>
      <c r="O15" s="26">
        <f>Teva!$S15</f>
        <v>127577.91602374088</v>
      </c>
      <c r="P15" s="26"/>
      <c r="Q15" s="26">
        <f>'Walgreens National'!U15</f>
        <v>182615.63681308378</v>
      </c>
      <c r="R15" s="26">
        <f>Walmart!$H15</f>
        <v>103893.07</v>
      </c>
      <c r="S15" s="61">
        <f t="shared" si="0"/>
        <v>1642879.462903159</v>
      </c>
    </row>
    <row r="16" spans="1:19" x14ac:dyDescent="0.35">
      <c r="A16" s="3" t="s">
        <v>31</v>
      </c>
      <c r="B16" s="14" t="s">
        <v>32</v>
      </c>
      <c r="C16" s="26">
        <f>Allergan!$M16</f>
        <v>0</v>
      </c>
      <c r="D16" s="26">
        <f>CVS!$P16</f>
        <v>0</v>
      </c>
      <c r="E16" s="26">
        <f>Distributors!$Z16</f>
        <v>0</v>
      </c>
      <c r="F16" s="26">
        <f>Janssen!$S16</f>
        <v>0</v>
      </c>
      <c r="G16" s="26">
        <v>0</v>
      </c>
      <c r="H16" s="26">
        <f>Kroger!P16</f>
        <v>266.46746982942267</v>
      </c>
      <c r="I16" s="26">
        <v>0</v>
      </c>
      <c r="J16" s="26">
        <v>0</v>
      </c>
      <c r="K16" s="26">
        <f>Masters!C16</f>
        <v>0</v>
      </c>
      <c r="L16" s="62">
        <v>0</v>
      </c>
      <c r="M16" s="26">
        <v>0</v>
      </c>
      <c r="N16" s="26">
        <v>0</v>
      </c>
      <c r="O16" s="26">
        <f>Teva!$S16</f>
        <v>0</v>
      </c>
      <c r="P16" s="26"/>
      <c r="Q16" s="26">
        <f>'Walgreens National'!U16</f>
        <v>477.72361816086232</v>
      </c>
      <c r="R16" s="26">
        <f>Walmart!$H16</f>
        <v>0</v>
      </c>
      <c r="S16" s="61">
        <f t="shared" si="0"/>
        <v>744.19108799028504</v>
      </c>
    </row>
    <row r="17" spans="1:19" x14ac:dyDescent="0.35">
      <c r="A17" s="3" t="s">
        <v>33</v>
      </c>
      <c r="B17" s="14" t="s">
        <v>33</v>
      </c>
      <c r="C17" s="26">
        <f>Allergan!$M17</f>
        <v>52869.183035020236</v>
      </c>
      <c r="D17" s="26">
        <f>CVS!$P17</f>
        <v>113789.12085933429</v>
      </c>
      <c r="E17" s="26">
        <f>Distributors!$Z17</f>
        <v>511451.52135001752</v>
      </c>
      <c r="F17" s="26">
        <f>Janssen!$S17</f>
        <v>118038.92901828338</v>
      </c>
      <c r="G17" s="26">
        <v>0</v>
      </c>
      <c r="H17" s="26">
        <f>Kroger!P17</f>
        <v>32708.782028432895</v>
      </c>
      <c r="I17" s="26">
        <v>0</v>
      </c>
      <c r="J17" s="26">
        <v>0</v>
      </c>
      <c r="K17" s="26">
        <f>Masters!C17</f>
        <v>0</v>
      </c>
      <c r="L17" s="62">
        <v>0</v>
      </c>
      <c r="M17" s="26">
        <v>0</v>
      </c>
      <c r="N17" s="26">
        <v>0</v>
      </c>
      <c r="O17" s="26">
        <f>Teva!$S17</f>
        <v>86376.514632316786</v>
      </c>
      <c r="P17" s="26"/>
      <c r="Q17" s="26">
        <f>'Walgreens National'!U17</f>
        <v>123639.75522633237</v>
      </c>
      <c r="R17" s="26">
        <f>Walmart!$H17</f>
        <v>70340.709999999992</v>
      </c>
      <c r="S17" s="61">
        <f t="shared" si="0"/>
        <v>1109214.5161497374</v>
      </c>
    </row>
    <row r="18" spans="1:19" x14ac:dyDescent="0.35">
      <c r="A18" s="3" t="s">
        <v>34</v>
      </c>
      <c r="B18" s="14" t="s">
        <v>35</v>
      </c>
      <c r="C18" s="26">
        <f>Allergan!$M18</f>
        <v>20592.731350509232</v>
      </c>
      <c r="D18" s="26">
        <f>CVS!$P18</f>
        <v>44321.271760408534</v>
      </c>
      <c r="E18" s="26">
        <f>Distributors!$Z18</f>
        <v>187188.62751622367</v>
      </c>
      <c r="F18" s="26">
        <f>Janssen!$S18</f>
        <v>44001.217250916867</v>
      </c>
      <c r="G18" s="26">
        <v>0</v>
      </c>
      <c r="H18" s="26">
        <f>Kroger!P18</f>
        <v>23879.392881764696</v>
      </c>
      <c r="I18" s="26">
        <v>0</v>
      </c>
      <c r="J18" s="26">
        <v>0</v>
      </c>
      <c r="K18" s="26">
        <f>Masters!C18</f>
        <v>0</v>
      </c>
      <c r="L18" s="62">
        <v>0</v>
      </c>
      <c r="M18" s="26">
        <v>0</v>
      </c>
      <c r="N18" s="26">
        <v>0</v>
      </c>
      <c r="O18" s="26">
        <f>Teva!$S18</f>
        <v>33643.958216761377</v>
      </c>
      <c r="P18" s="26"/>
      <c r="Q18" s="26">
        <f>'Walgreens National'!U18</f>
        <v>48158.121716514099</v>
      </c>
      <c r="R18" s="26">
        <f>Walmart!$H18</f>
        <v>27397.95</v>
      </c>
      <c r="S18" s="61">
        <f t="shared" si="0"/>
        <v>429183.27069309849</v>
      </c>
    </row>
    <row r="19" spans="1:19" x14ac:dyDescent="0.35">
      <c r="A19" s="3" t="s">
        <v>36</v>
      </c>
      <c r="B19" s="14" t="s">
        <v>37</v>
      </c>
      <c r="C19" s="26">
        <f>Allergan!$M19</f>
        <v>0</v>
      </c>
      <c r="D19" s="26">
        <f>CVS!$P19</f>
        <v>0</v>
      </c>
      <c r="E19" s="26">
        <f>Distributors!$Z19</f>
        <v>0</v>
      </c>
      <c r="F19" s="26">
        <f>Janssen!$S19</f>
        <v>0</v>
      </c>
      <c r="G19" s="26">
        <v>0</v>
      </c>
      <c r="H19" s="26">
        <f>Kroger!P19</f>
        <v>2216.7119086047624</v>
      </c>
      <c r="I19" s="26">
        <v>0</v>
      </c>
      <c r="J19" s="26">
        <v>0</v>
      </c>
      <c r="K19" s="26">
        <f>Masters!C19</f>
        <v>0</v>
      </c>
      <c r="L19" s="62">
        <v>0</v>
      </c>
      <c r="M19" s="26">
        <v>0</v>
      </c>
      <c r="N19" s="26">
        <v>0</v>
      </c>
      <c r="O19" s="26">
        <f>Teva!$S19</f>
        <v>3143.4078663295622</v>
      </c>
      <c r="P19" s="26"/>
      <c r="Q19" s="26">
        <f>'Walgreens National'!U19</f>
        <v>3974.1272511681605</v>
      </c>
      <c r="R19" s="26">
        <f>Walmart!$H19</f>
        <v>0</v>
      </c>
      <c r="S19" s="61">
        <f t="shared" si="0"/>
        <v>9334.2470261024846</v>
      </c>
    </row>
    <row r="20" spans="1:19" x14ac:dyDescent="0.35">
      <c r="A20" s="3" t="s">
        <v>38</v>
      </c>
      <c r="B20" s="14" t="s">
        <v>38</v>
      </c>
      <c r="C20" s="26">
        <f>Allergan!$M20</f>
        <v>24305.597525481804</v>
      </c>
      <c r="D20" s="26">
        <f>CVS!$P20</f>
        <v>52312.361105036682</v>
      </c>
      <c r="E20" s="26">
        <f>Distributors!$Z20</f>
        <v>235129.98840489899</v>
      </c>
      <c r="F20" s="26">
        <f>Janssen!$S20</f>
        <v>54266.118880843969</v>
      </c>
      <c r="G20" s="26">
        <v>0</v>
      </c>
      <c r="H20" s="26">
        <f>Kroger!P20</f>
        <v>15037.231942315175</v>
      </c>
      <c r="I20" s="26">
        <v>0</v>
      </c>
      <c r="J20" s="26">
        <v>0</v>
      </c>
      <c r="K20" s="26">
        <f>Masters!C20</f>
        <v>1981.53</v>
      </c>
      <c r="L20" s="62">
        <v>0</v>
      </c>
      <c r="M20" s="26">
        <v>0</v>
      </c>
      <c r="N20" s="26">
        <v>0</v>
      </c>
      <c r="O20" s="26">
        <f>Teva!$S20</f>
        <v>39709.943031786504</v>
      </c>
      <c r="P20" s="26"/>
      <c r="Q20" s="26">
        <f>'Walgreens National'!U20</f>
        <v>56840.998051522009</v>
      </c>
      <c r="R20" s="26">
        <f>Walmart!$H20</f>
        <v>32337.79</v>
      </c>
      <c r="S20" s="61">
        <f t="shared" si="0"/>
        <v>511921.55894188513</v>
      </c>
    </row>
    <row r="21" spans="1:19" x14ac:dyDescent="0.35">
      <c r="A21" s="3" t="s">
        <v>39</v>
      </c>
      <c r="B21" s="14" t="s">
        <v>39</v>
      </c>
      <c r="C21" s="26">
        <f>Allergan!$M21</f>
        <v>75758.703117982979</v>
      </c>
      <c r="D21" s="26">
        <f>CVS!$P21</f>
        <v>163053.69476012996</v>
      </c>
      <c r="E21" s="26">
        <f>Distributors!$Z21</f>
        <v>688649.08027711697</v>
      </c>
      <c r="F21" s="26">
        <f>Janssen!$S21</f>
        <v>161876.25428611407</v>
      </c>
      <c r="G21" s="26">
        <v>0</v>
      </c>
      <c r="H21" s="26">
        <f>Kroger!P21</f>
        <v>87850.000510226047</v>
      </c>
      <c r="I21" s="26">
        <v>0</v>
      </c>
      <c r="J21" s="26">
        <v>0</v>
      </c>
      <c r="K21" s="26">
        <f>Masters!C21</f>
        <v>0</v>
      </c>
      <c r="L21" s="62">
        <v>0</v>
      </c>
      <c r="M21" s="26">
        <v>0</v>
      </c>
      <c r="N21" s="26">
        <v>0</v>
      </c>
      <c r="O21" s="26">
        <f>Teva!$S21</f>
        <v>123772.91135059379</v>
      </c>
      <c r="P21" s="26"/>
      <c r="Q21" s="26">
        <f>'Walgreens National'!U21</f>
        <v>177169.12430399982</v>
      </c>
      <c r="R21" s="26">
        <f>Walmart!$H21</f>
        <v>100794.45999999999</v>
      </c>
      <c r="S21" s="61">
        <f t="shared" si="0"/>
        <v>1578924.2286061635</v>
      </c>
    </row>
    <row r="22" spans="1:19" x14ac:dyDescent="0.35">
      <c r="A22" s="3" t="s">
        <v>40</v>
      </c>
      <c r="B22" s="14" t="s">
        <v>41</v>
      </c>
      <c r="C22" s="26">
        <f>Allergan!$M22</f>
        <v>9413.0785135217375</v>
      </c>
      <c r="D22" s="26">
        <f>CVS!$P22</f>
        <v>20259.539759658721</v>
      </c>
      <c r="E22" s="26">
        <f>Distributors!$Z22</f>
        <v>85565.137327389748</v>
      </c>
      <c r="F22" s="26">
        <f>Janssen!$S22</f>
        <v>20113.244920504323</v>
      </c>
      <c r="G22" s="26">
        <v>0</v>
      </c>
      <c r="H22" s="26">
        <f>Kroger!P22</f>
        <v>10915.423393426147</v>
      </c>
      <c r="I22" s="26">
        <v>0</v>
      </c>
      <c r="J22" s="26">
        <v>0</v>
      </c>
      <c r="K22" s="26">
        <f>Masters!C22</f>
        <v>0</v>
      </c>
      <c r="L22" s="62">
        <v>0</v>
      </c>
      <c r="M22" s="26">
        <v>0</v>
      </c>
      <c r="N22" s="26">
        <v>0</v>
      </c>
      <c r="O22" s="26">
        <f>Teva!$S22</f>
        <v>15378.865643795745</v>
      </c>
      <c r="P22" s="26"/>
      <c r="Q22" s="26">
        <f>'Walgreens National'!U22</f>
        <v>22013.391301019295</v>
      </c>
      <c r="R22" s="26">
        <f>Walmart!$H22</f>
        <v>12523.779999999999</v>
      </c>
      <c r="S22" s="61">
        <f t="shared" si="0"/>
        <v>196182.4608593157</v>
      </c>
    </row>
    <row r="23" spans="1:19" x14ac:dyDescent="0.35">
      <c r="A23" s="3" t="s">
        <v>42</v>
      </c>
      <c r="B23" s="14" t="s">
        <v>43</v>
      </c>
      <c r="C23" s="26">
        <f>Allergan!$M23</f>
        <v>59906.061810041865</v>
      </c>
      <c r="D23" s="26">
        <f>CVS!$P23</f>
        <v>128934.42071204458</v>
      </c>
      <c r="E23" s="26">
        <f>Distributors!$Z23</f>
        <v>544548.0392056636</v>
      </c>
      <c r="F23" s="26">
        <f>Janssen!$S23</f>
        <v>128003.35618785414</v>
      </c>
      <c r="G23" s="26">
        <v>0</v>
      </c>
      <c r="H23" s="26">
        <f>Kroger!P23</f>
        <v>69467.231597046237</v>
      </c>
      <c r="I23" s="26">
        <v>0</v>
      </c>
      <c r="J23" s="26">
        <v>0</v>
      </c>
      <c r="K23" s="26">
        <f>Masters!C23</f>
        <v>0</v>
      </c>
      <c r="L23" s="62">
        <v>0</v>
      </c>
      <c r="M23" s="26">
        <v>0</v>
      </c>
      <c r="N23" s="26">
        <v>0</v>
      </c>
      <c r="O23" s="26">
        <f>Teva!$S23</f>
        <v>97873.20660056101</v>
      </c>
      <c r="P23" s="26"/>
      <c r="Q23" s="26">
        <f>'Walgreens National'!U23</f>
        <v>140096.165266814</v>
      </c>
      <c r="R23" s="26">
        <f>Walmart!$H23</f>
        <v>79703.040000000008</v>
      </c>
      <c r="S23" s="61">
        <f t="shared" si="0"/>
        <v>1248531.5213800257</v>
      </c>
    </row>
    <row r="24" spans="1:19" x14ac:dyDescent="0.35">
      <c r="A24" s="3" t="s">
        <v>36</v>
      </c>
      <c r="B24" s="14" t="s">
        <v>44</v>
      </c>
      <c r="C24" s="26">
        <f>Allergan!$M24</f>
        <v>20083.603229640208</v>
      </c>
      <c r="D24" s="26">
        <f>CVS!$P24</f>
        <v>43225.486713238563</v>
      </c>
      <c r="E24" s="26">
        <f>Distributors!$Z24</f>
        <v>182560.65438607911</v>
      </c>
      <c r="F24" s="26">
        <f>Janssen!$S24</f>
        <v>42913.347828134807</v>
      </c>
      <c r="G24" s="26">
        <v>0</v>
      </c>
      <c r="H24" s="26">
        <f>Kroger!P24</f>
        <v>23289.007741508321</v>
      </c>
      <c r="I24" s="26">
        <v>0</v>
      </c>
      <c r="J24" s="26">
        <v>0</v>
      </c>
      <c r="K24" s="26">
        <f>Masters!C24</f>
        <v>0</v>
      </c>
      <c r="L24" s="62">
        <v>0</v>
      </c>
      <c r="M24" s="26">
        <v>0</v>
      </c>
      <c r="N24" s="26">
        <v>0</v>
      </c>
      <c r="O24" s="26">
        <f>Teva!$S24</f>
        <v>32812.162970625228</v>
      </c>
      <c r="P24" s="26"/>
      <c r="Q24" s="26">
        <f>'Walgreens National'!U24</f>
        <v>46967.477601394792</v>
      </c>
      <c r="R24" s="26">
        <f>Walmart!$H24</f>
        <v>26720.58</v>
      </c>
      <c r="S24" s="61">
        <f t="shared" si="0"/>
        <v>418572.32047062099</v>
      </c>
    </row>
    <row r="25" spans="1:19" x14ac:dyDescent="0.35">
      <c r="A25" s="3" t="s">
        <v>36</v>
      </c>
      <c r="B25" s="14" t="s">
        <v>36</v>
      </c>
      <c r="C25" s="26">
        <f>Allergan!$M25</f>
        <v>363802.31306357688</v>
      </c>
      <c r="D25" s="26">
        <f>CVS!$P25</f>
        <v>783201.70069296251</v>
      </c>
      <c r="E25" s="26">
        <f>Distributors!$Z25</f>
        <v>3372158.8932078532</v>
      </c>
      <c r="F25" s="26">
        <f>Janssen!$S25</f>
        <v>777318.66452392179</v>
      </c>
      <c r="G25" s="26">
        <v>0</v>
      </c>
      <c r="H25" s="26">
        <f>Kroger!P25</f>
        <v>223373.93907306326</v>
      </c>
      <c r="I25" s="26">
        <v>0</v>
      </c>
      <c r="J25" s="26">
        <v>0</v>
      </c>
      <c r="K25" s="26">
        <f>Masters!C25</f>
        <v>0</v>
      </c>
      <c r="L25" s="62">
        <v>0</v>
      </c>
      <c r="M25" s="26">
        <v>0</v>
      </c>
      <c r="N25" s="26">
        <v>0</v>
      </c>
      <c r="O25" s="26">
        <f>Teva!$S25</f>
        <v>589880.20064894133</v>
      </c>
      <c r="P25" s="26"/>
      <c r="Q25" s="26">
        <f>'Walgreens National'!U25</f>
        <v>850992.98774536303</v>
      </c>
      <c r="R25" s="26">
        <f>Walmart!$H25</f>
        <v>483940.61000000004</v>
      </c>
      <c r="S25" s="61">
        <f t="shared" si="0"/>
        <v>7444669.3089556824</v>
      </c>
    </row>
    <row r="26" spans="1:19" x14ac:dyDescent="0.35">
      <c r="A26" s="3" t="s">
        <v>45</v>
      </c>
      <c r="B26" s="14" t="s">
        <v>46</v>
      </c>
      <c r="C26" s="26">
        <f>Allergan!$M26</f>
        <v>7219.309302252087</v>
      </c>
      <c r="D26" s="26">
        <f>CVS!$P26</f>
        <v>15537.955280535003</v>
      </c>
      <c r="E26" s="26">
        <f>Distributors!$Z26</f>
        <v>65623.759735795873</v>
      </c>
      <c r="F26" s="26">
        <f>Janssen!$S26</f>
        <v>15425.742165722329</v>
      </c>
      <c r="G26" s="26">
        <v>0</v>
      </c>
      <c r="H26" s="26">
        <f>Kroger!P26</f>
        <v>8371.5310074590052</v>
      </c>
      <c r="I26" s="26">
        <v>0</v>
      </c>
      <c r="J26" s="26">
        <v>0</v>
      </c>
      <c r="K26" s="26">
        <f>Masters!C26</f>
        <v>0</v>
      </c>
      <c r="L26" s="62">
        <v>0</v>
      </c>
      <c r="M26" s="26">
        <v>0</v>
      </c>
      <c r="N26" s="26">
        <v>0</v>
      </c>
      <c r="O26" s="26">
        <f>Teva!$S26</f>
        <v>11794.752570809609</v>
      </c>
      <c r="P26" s="26"/>
      <c r="Q26" s="26">
        <f>'Walgreens National'!U26</f>
        <v>16883.053983579219</v>
      </c>
      <c r="R26" s="26">
        <f>Walmart!$H26</f>
        <v>9605.06</v>
      </c>
      <c r="S26" s="61">
        <f t="shared" si="0"/>
        <v>150461.16404615314</v>
      </c>
    </row>
    <row r="27" spans="1:19" x14ac:dyDescent="0.35">
      <c r="A27" s="3" t="s">
        <v>47</v>
      </c>
      <c r="B27" s="14" t="s">
        <v>48</v>
      </c>
      <c r="C27" s="26">
        <f>Allergan!$M27</f>
        <v>15874.393616954061</v>
      </c>
      <c r="D27" s="26">
        <f>CVS!$P27</f>
        <v>34166.085503582312</v>
      </c>
      <c r="E27" s="26">
        <f>Distributors!$Z27</f>
        <v>144298.75707727601</v>
      </c>
      <c r="F27" s="26">
        <f>Janssen!$S27</f>
        <v>33919.372005004276</v>
      </c>
      <c r="G27" s="26">
        <v>0</v>
      </c>
      <c r="H27" s="26">
        <f>Kroger!P27</f>
        <v>18407.990048815722</v>
      </c>
      <c r="I27" s="26">
        <v>0</v>
      </c>
      <c r="J27" s="26">
        <v>0</v>
      </c>
      <c r="K27" s="26">
        <f>Masters!C27</f>
        <v>0</v>
      </c>
      <c r="L27" s="62">
        <v>0</v>
      </c>
      <c r="M27" s="26">
        <v>0</v>
      </c>
      <c r="N27" s="26">
        <v>0</v>
      </c>
      <c r="O27" s="26">
        <f>Teva!$S27</f>
        <v>25935.236194774447</v>
      </c>
      <c r="P27" s="26"/>
      <c r="Q27" s="26">
        <f>'Walgreens National'!U27</f>
        <v>37123.815559029295</v>
      </c>
      <c r="R27" s="26">
        <f>Walmart!$H27</f>
        <v>21120.36</v>
      </c>
      <c r="S27" s="61">
        <f t="shared" si="0"/>
        <v>330846.01000543608</v>
      </c>
    </row>
    <row r="28" spans="1:19" x14ac:dyDescent="0.35">
      <c r="A28" s="3" t="s">
        <v>49</v>
      </c>
      <c r="B28" s="14" t="s">
        <v>49</v>
      </c>
      <c r="C28" s="26">
        <f>Allergan!$M28</f>
        <v>45671.744291450872</v>
      </c>
      <c r="D28" s="26">
        <f>CVS!$P28</f>
        <v>98298.22900826743</v>
      </c>
      <c r="E28" s="26">
        <f>Distributors!$Z28</f>
        <v>441824.10955463955</v>
      </c>
      <c r="F28" s="26">
        <f>Janssen!$S28</f>
        <v>101969.46740163512</v>
      </c>
      <c r="G28" s="26">
        <v>0</v>
      </c>
      <c r="H28" s="26">
        <f>Kroger!P28</f>
        <v>28255.908933333987</v>
      </c>
      <c r="I28" s="26">
        <v>0</v>
      </c>
      <c r="J28" s="26">
        <v>0</v>
      </c>
      <c r="K28" s="26">
        <f>Masters!C28</f>
        <v>0</v>
      </c>
      <c r="L28" s="62">
        <v>0</v>
      </c>
      <c r="M28" s="26">
        <v>0</v>
      </c>
      <c r="N28" s="26">
        <v>0</v>
      </c>
      <c r="O28" s="26">
        <f>Teva!$S28</f>
        <v>74617.481770990096</v>
      </c>
      <c r="P28" s="26"/>
      <c r="Q28" s="26">
        <f>'Walgreens National'!U28</f>
        <v>106807.81838033379</v>
      </c>
      <c r="R28" s="26">
        <f>Walmart!$H28</f>
        <v>60764.74</v>
      </c>
      <c r="S28" s="61">
        <f t="shared" si="0"/>
        <v>958209.49934065074</v>
      </c>
    </row>
    <row r="29" spans="1:19" x14ac:dyDescent="0.35">
      <c r="A29" s="3" t="s">
        <v>34</v>
      </c>
      <c r="B29" s="14" t="s">
        <v>50</v>
      </c>
      <c r="C29" s="26">
        <f>Allergan!$M29</f>
        <v>6280.5479614908545</v>
      </c>
      <c r="D29" s="26">
        <f>CVS!$P29</f>
        <v>13517.478951102723</v>
      </c>
      <c r="E29" s="26">
        <f>Distributors!$Z29</f>
        <v>57090.394155567592</v>
      </c>
      <c r="F29" s="26">
        <f>Janssen!$S29</f>
        <v>13419.86878901508</v>
      </c>
      <c r="G29" s="26">
        <v>0</v>
      </c>
      <c r="H29" s="26">
        <f>Kroger!P29</f>
        <v>7282.9419417890322</v>
      </c>
      <c r="I29" s="26">
        <v>0</v>
      </c>
      <c r="J29" s="26">
        <v>0</v>
      </c>
      <c r="K29" s="26">
        <f>Masters!C29</f>
        <v>0</v>
      </c>
      <c r="L29" s="62">
        <v>0</v>
      </c>
      <c r="M29" s="26">
        <v>0</v>
      </c>
      <c r="N29" s="26">
        <v>0</v>
      </c>
      <c r="O29" s="26">
        <f>Teva!$S29</f>
        <v>10261.023145924803</v>
      </c>
      <c r="P29" s="26"/>
      <c r="Q29" s="26">
        <f>'Walgreens National'!U29</f>
        <v>14687.678490699671</v>
      </c>
      <c r="R29" s="26">
        <f>Walmart!$H29</f>
        <v>8356.07</v>
      </c>
      <c r="S29" s="61">
        <f t="shared" si="0"/>
        <v>130896.00343558975</v>
      </c>
    </row>
    <row r="30" spans="1:19" x14ac:dyDescent="0.35">
      <c r="A30" s="3" t="s">
        <v>47</v>
      </c>
      <c r="B30" s="14" t="s">
        <v>47</v>
      </c>
      <c r="C30" s="26">
        <f>Allergan!$M30</f>
        <v>421398.13593377511</v>
      </c>
      <c r="D30" s="26">
        <f>CVS!$P30</f>
        <v>905485.78781110561</v>
      </c>
      <c r="E30" s="26">
        <f>Distributors!$Z30</f>
        <v>4071596.1629628181</v>
      </c>
      <c r="F30" s="26">
        <f>Janssen!$S30</f>
        <v>938360.33561110729</v>
      </c>
      <c r="G30" s="26">
        <v>0</v>
      </c>
      <c r="H30" s="26">
        <f>Kroger!P30</f>
        <v>260021.21165248784</v>
      </c>
      <c r="I30" s="26">
        <v>0</v>
      </c>
      <c r="J30" s="26">
        <v>0</v>
      </c>
      <c r="K30" s="26">
        <f>Masters!C30</f>
        <v>4182.32</v>
      </c>
      <c r="L30" s="62">
        <v>0</v>
      </c>
      <c r="M30" s="26">
        <v>0</v>
      </c>
      <c r="N30" s="26">
        <v>0</v>
      </c>
      <c r="O30" s="26">
        <f>Teva!$S30</f>
        <v>687097.93749222509</v>
      </c>
      <c r="P30" s="26"/>
      <c r="Q30" s="26">
        <f>'Walgreens National'!U30</f>
        <v>983863.00237067067</v>
      </c>
      <c r="R30" s="26">
        <f>Walmart!$H30</f>
        <v>564192.66</v>
      </c>
      <c r="S30" s="61">
        <f t="shared" si="0"/>
        <v>8836197.5538341887</v>
      </c>
    </row>
    <row r="31" spans="1:19" x14ac:dyDescent="0.35">
      <c r="A31" s="3" t="s">
        <v>34</v>
      </c>
      <c r="B31" s="14" t="s">
        <v>51</v>
      </c>
      <c r="C31" s="26">
        <f>Allergan!$M31</f>
        <v>8049.4879950794229</v>
      </c>
      <c r="D31" s="26">
        <f>CVS!$P31</f>
        <v>17324.736418148226</v>
      </c>
      <c r="E31" s="26">
        <f>Distributors!$Z31</f>
        <v>73170.129371690025</v>
      </c>
      <c r="F31" s="26">
        <f>Janssen!$S31</f>
        <v>17199.627401084661</v>
      </c>
      <c r="G31" s="26">
        <v>0</v>
      </c>
      <c r="H31" s="26">
        <f>Kroger!P31</f>
        <v>9334.2098492751502</v>
      </c>
      <c r="I31" s="26">
        <v>0</v>
      </c>
      <c r="J31" s="26">
        <v>0</v>
      </c>
      <c r="K31" s="26">
        <f>Masters!C31</f>
        <v>0</v>
      </c>
      <c r="L31" s="62">
        <v>0</v>
      </c>
      <c r="M31" s="26">
        <v>0</v>
      </c>
      <c r="N31" s="26">
        <v>0</v>
      </c>
      <c r="O31" s="26">
        <f>Teva!$S31</f>
        <v>13151.080443288227</v>
      </c>
      <c r="P31" s="26"/>
      <c r="Q31" s="26">
        <f>'Walgreens National'!U31</f>
        <v>18824.517278298139</v>
      </c>
      <c r="R31" s="26">
        <f>Walmart!$H31</f>
        <v>10709.58</v>
      </c>
      <c r="S31" s="61">
        <f t="shared" si="0"/>
        <v>167763.36875686384</v>
      </c>
    </row>
    <row r="32" spans="1:19" x14ac:dyDescent="0.35">
      <c r="A32" s="3" t="s">
        <v>52</v>
      </c>
      <c r="B32" s="14" t="s">
        <v>53</v>
      </c>
      <c r="C32" s="26">
        <f>Allergan!$M32</f>
        <v>4288.2182395007012</v>
      </c>
      <c r="D32" s="26">
        <f>CVS!$P32</f>
        <v>9229.4369372598958</v>
      </c>
      <c r="E32" s="26">
        <f>Distributors!$Z32</f>
        <v>38980.047364088481</v>
      </c>
      <c r="F32" s="26">
        <f>Janssen!$S32</f>
        <v>9162.7968745537528</v>
      </c>
      <c r="G32" s="26">
        <v>0</v>
      </c>
      <c r="H32" s="26">
        <f>Kroger!P32</f>
        <v>4972.6296693844524</v>
      </c>
      <c r="I32" s="26">
        <v>0</v>
      </c>
      <c r="J32" s="26">
        <v>0</v>
      </c>
      <c r="K32" s="26">
        <f>Masters!C32</f>
        <v>0</v>
      </c>
      <c r="L32" s="62">
        <v>0</v>
      </c>
      <c r="M32" s="26">
        <v>0</v>
      </c>
      <c r="N32" s="26">
        <v>0</v>
      </c>
      <c r="O32" s="26">
        <f>Teva!$S32</f>
        <v>7005.9932300982546</v>
      </c>
      <c r="P32" s="26"/>
      <c r="Q32" s="26">
        <f>'Walgreens National'!U32</f>
        <v>10028.414247990497</v>
      </c>
      <c r="R32" s="26">
        <f>Walmart!$H32</f>
        <v>5705.33</v>
      </c>
      <c r="S32" s="61">
        <f t="shared" si="0"/>
        <v>89372.866562876021</v>
      </c>
    </row>
    <row r="33" spans="1:19" x14ac:dyDescent="0.35">
      <c r="A33" s="3" t="s">
        <v>34</v>
      </c>
      <c r="B33" s="14" t="s">
        <v>54</v>
      </c>
      <c r="C33" s="26">
        <f>Allergan!$M33</f>
        <v>18039.942660093307</v>
      </c>
      <c r="D33" s="26">
        <f>CVS!$P33</f>
        <v>38826.961542233621</v>
      </c>
      <c r="E33" s="26">
        <f>Distributors!$Z33</f>
        <v>163983.6872916494</v>
      </c>
      <c r="F33" s="26">
        <f>Janssen!$S33</f>
        <v>38546.580684721492</v>
      </c>
      <c r="G33" s="26">
        <v>0</v>
      </c>
      <c r="H33" s="26">
        <f>Kroger!P33</f>
        <v>20919.168660137148</v>
      </c>
      <c r="I33" s="26">
        <v>0</v>
      </c>
      <c r="J33" s="26">
        <v>0</v>
      </c>
      <c r="K33" s="26">
        <f>Masters!C33</f>
        <v>0</v>
      </c>
      <c r="L33" s="62">
        <v>0</v>
      </c>
      <c r="M33" s="26">
        <v>0</v>
      </c>
      <c r="N33" s="26">
        <v>0</v>
      </c>
      <c r="O33" s="26">
        <f>Teva!$S33</f>
        <v>29473.266797822078</v>
      </c>
      <c r="P33" s="26"/>
      <c r="Q33" s="26">
        <f>'Walgreens National'!U33</f>
        <v>42188.173530650718</v>
      </c>
      <c r="R33" s="26">
        <f>Walmart!$H33</f>
        <v>24001.550000000003</v>
      </c>
      <c r="S33" s="61">
        <f t="shared" si="0"/>
        <v>375979.3311673078</v>
      </c>
    </row>
    <row r="34" spans="1:19" x14ac:dyDescent="0.35">
      <c r="A34" s="3" t="s">
        <v>55</v>
      </c>
      <c r="B34" s="14" t="s">
        <v>56</v>
      </c>
      <c r="C34" s="26">
        <f>Allergan!$M34</f>
        <v>0</v>
      </c>
      <c r="D34" s="26">
        <f>CVS!$P34</f>
        <v>0</v>
      </c>
      <c r="E34" s="26">
        <f>Distributors!$Z34</f>
        <v>0</v>
      </c>
      <c r="F34" s="26">
        <f>Janssen!$S34</f>
        <v>0</v>
      </c>
      <c r="G34" s="26">
        <v>0</v>
      </c>
      <c r="H34" s="26">
        <f>Kroger!P34</f>
        <v>0</v>
      </c>
      <c r="I34" s="26">
        <v>0</v>
      </c>
      <c r="J34" s="26">
        <v>0</v>
      </c>
      <c r="K34" s="26">
        <f>Masters!C34</f>
        <v>0</v>
      </c>
      <c r="L34" s="62">
        <v>0</v>
      </c>
      <c r="M34" s="26">
        <v>0</v>
      </c>
      <c r="N34" s="26">
        <v>0</v>
      </c>
      <c r="O34" s="26">
        <f>Teva!$S34</f>
        <v>0</v>
      </c>
      <c r="P34" s="26"/>
      <c r="Q34" s="26">
        <f>'Walgreens National'!U34</f>
        <v>0</v>
      </c>
      <c r="R34" s="26">
        <f>Walmart!$H34</f>
        <v>0</v>
      </c>
      <c r="S34" s="61">
        <f t="shared" si="0"/>
        <v>0</v>
      </c>
    </row>
    <row r="35" spans="1:19" x14ac:dyDescent="0.35">
      <c r="A35" s="3" t="s">
        <v>34</v>
      </c>
      <c r="B35" s="14" t="s">
        <v>57</v>
      </c>
      <c r="C35" s="26">
        <f>Allergan!$M35</f>
        <v>41915.773618162028</v>
      </c>
      <c r="D35" s="26">
        <f>CVS!$P35</f>
        <v>90214.338491804156</v>
      </c>
      <c r="E35" s="26">
        <f>Distributors!$Z35</f>
        <v>381015.68914430699</v>
      </c>
      <c r="F35" s="26">
        <f>Janssen!$S35</f>
        <v>89562.879236674838</v>
      </c>
      <c r="G35" s="26">
        <v>0</v>
      </c>
      <c r="H35" s="26">
        <f>Kroger!P35</f>
        <v>48605.639463535044</v>
      </c>
      <c r="I35" s="26">
        <v>0</v>
      </c>
      <c r="J35" s="26">
        <v>0</v>
      </c>
      <c r="K35" s="26">
        <f>Masters!C35</f>
        <v>0</v>
      </c>
      <c r="L35" s="62">
        <v>0</v>
      </c>
      <c r="M35" s="26">
        <v>0</v>
      </c>
      <c r="N35" s="26">
        <v>0</v>
      </c>
      <c r="O35" s="26">
        <f>Teva!$S35</f>
        <v>68481.064920345729</v>
      </c>
      <c r="P35" s="26"/>
      <c r="Q35" s="26">
        <f>'Walgreens National'!U35</f>
        <v>98024.105092614584</v>
      </c>
      <c r="R35" s="26">
        <f>Walmart!$H35</f>
        <v>55767.549999999996</v>
      </c>
      <c r="S35" s="61">
        <f t="shared" si="0"/>
        <v>873587.03996744344</v>
      </c>
    </row>
    <row r="36" spans="1:19" x14ac:dyDescent="0.35">
      <c r="A36" s="3" t="s">
        <v>58</v>
      </c>
      <c r="B36" s="14" t="s">
        <v>58</v>
      </c>
      <c r="C36" s="26">
        <f>Allergan!$M36</f>
        <v>111946.53912648733</v>
      </c>
      <c r="D36" s="26">
        <f>CVS!$P36</f>
        <v>240939.91870313912</v>
      </c>
      <c r="E36" s="26">
        <f>Distributors!$Z36</f>
        <v>1082960.2070735735</v>
      </c>
      <c r="F36" s="26">
        <f>Janssen!$S36</f>
        <v>249938.55383024426</v>
      </c>
      <c r="G36" s="26">
        <v>0</v>
      </c>
      <c r="H36" s="26">
        <f>Kroger!P36</f>
        <v>69258.388680458462</v>
      </c>
      <c r="I36" s="26">
        <v>0</v>
      </c>
      <c r="J36" s="26">
        <v>0</v>
      </c>
      <c r="K36" s="26">
        <f>Masters!C36</f>
        <v>0</v>
      </c>
      <c r="L36" s="62">
        <v>0</v>
      </c>
      <c r="M36" s="26">
        <f>Meijer!D4</f>
        <v>1556250</v>
      </c>
      <c r="N36" s="26">
        <v>0</v>
      </c>
      <c r="O36" s="26">
        <f>Teva!$S36</f>
        <v>182895.78462402674</v>
      </c>
      <c r="P36" s="26"/>
      <c r="Q36" s="26">
        <f>'Walgreens National'!U36</f>
        <v>261797.88155784016</v>
      </c>
      <c r="R36" s="26">
        <f>Walmart!$H36</f>
        <v>148941.18</v>
      </c>
      <c r="S36" s="61">
        <f t="shared" si="0"/>
        <v>3904928.4535957701</v>
      </c>
    </row>
    <row r="37" spans="1:19" x14ac:dyDescent="0.35">
      <c r="A37" s="3" t="s">
        <v>34</v>
      </c>
      <c r="B37" s="14" t="s">
        <v>59</v>
      </c>
      <c r="C37" s="26">
        <f>Allergan!$M37</f>
        <v>5222.4315177006656</v>
      </c>
      <c r="D37" s="26">
        <f>CVS!$P37</f>
        <v>11240.122804959259</v>
      </c>
      <c r="E37" s="26">
        <f>Distributors!$Z37</f>
        <v>47472.075801236017</v>
      </c>
      <c r="F37" s="26">
        <f>Janssen!$S37</f>
        <v>11158.94468071442</v>
      </c>
      <c r="G37" s="26">
        <v>0</v>
      </c>
      <c r="H37" s="26">
        <f>Kroger!P37</f>
        <v>6055.9450190239377</v>
      </c>
      <c r="I37" s="26">
        <v>0</v>
      </c>
      <c r="J37" s="26">
        <v>0</v>
      </c>
      <c r="K37" s="26">
        <f>Masters!C37</f>
        <v>0</v>
      </c>
      <c r="L37" s="62">
        <v>0</v>
      </c>
      <c r="M37" s="26">
        <v>0</v>
      </c>
      <c r="N37" s="26">
        <v>0</v>
      </c>
      <c r="O37" s="26">
        <f>Teva!$S37</f>
        <v>8532.2941745373555</v>
      </c>
      <c r="P37" s="26"/>
      <c r="Q37" s="26">
        <f>'Walgreens National'!U37</f>
        <v>12213.165008159702</v>
      </c>
      <c r="R37" s="26">
        <f>Walmart!$H37</f>
        <v>6948.27</v>
      </c>
      <c r="S37" s="61">
        <f t="shared" si="0"/>
        <v>108843.24900633137</v>
      </c>
    </row>
    <row r="38" spans="1:19" x14ac:dyDescent="0.35">
      <c r="A38" s="3" t="s">
        <v>60</v>
      </c>
      <c r="B38" s="14" t="s">
        <v>61</v>
      </c>
      <c r="C38" s="26">
        <f>Allergan!$M38</f>
        <v>181.42</v>
      </c>
      <c r="D38" s="26">
        <f>CVS!$P38</f>
        <v>403.56</v>
      </c>
      <c r="E38" s="26">
        <f>Distributors!$Z38</f>
        <v>1519.52</v>
      </c>
      <c r="F38" s="26">
        <f>Janssen!$S38</f>
        <v>401.49999999999994</v>
      </c>
      <c r="G38" s="26">
        <v>0</v>
      </c>
      <c r="H38" s="26">
        <f>Kroger!P38</f>
        <v>205.40983531398544</v>
      </c>
      <c r="I38" s="26">
        <v>0</v>
      </c>
      <c r="J38" s="26">
        <v>0</v>
      </c>
      <c r="K38" s="26">
        <f>Masters!C38</f>
        <v>0</v>
      </c>
      <c r="L38" s="62">
        <v>0</v>
      </c>
      <c r="M38" s="26">
        <v>0</v>
      </c>
      <c r="N38" s="26">
        <v>0</v>
      </c>
      <c r="O38" s="26">
        <f>Teva!$S38</f>
        <v>291.28137474294016</v>
      </c>
      <c r="P38" s="26"/>
      <c r="Q38" s="26">
        <f>'Walgreens National'!U38</f>
        <v>806.10932184082594</v>
      </c>
      <c r="R38" s="26">
        <f>Walmart!$H38</f>
        <v>235.68</v>
      </c>
      <c r="S38" s="61">
        <f t="shared" si="0"/>
        <v>4044.480531897751</v>
      </c>
    </row>
    <row r="39" spans="1:19" x14ac:dyDescent="0.35">
      <c r="A39" s="3" t="s">
        <v>22</v>
      </c>
      <c r="B39" s="14" t="s">
        <v>62</v>
      </c>
      <c r="C39" s="26">
        <f>Allergan!$M39</f>
        <v>18114.024993011924</v>
      </c>
      <c r="D39" s="26">
        <f>CVS!$P39</f>
        <v>38986.390184447555</v>
      </c>
      <c r="E39" s="26">
        <f>Distributors!$Z39</f>
        <v>164657.0158749423</v>
      </c>
      <c r="F39" s="26">
        <f>Janssen!$S39</f>
        <v>38704.854864950554</v>
      </c>
      <c r="G39" s="26">
        <v>0</v>
      </c>
      <c r="H39" s="26">
        <f>Kroger!P39</f>
        <v>21005.065976813628</v>
      </c>
      <c r="I39" s="26">
        <v>0</v>
      </c>
      <c r="J39" s="26">
        <v>0</v>
      </c>
      <c r="K39" s="26">
        <f>Masters!C39</f>
        <v>0</v>
      </c>
      <c r="L39" s="62">
        <v>0</v>
      </c>
      <c r="M39" s="26">
        <v>0</v>
      </c>
      <c r="N39" s="26">
        <v>0</v>
      </c>
      <c r="O39" s="26">
        <f>Teva!$S39</f>
        <v>29594.287978440469</v>
      </c>
      <c r="P39" s="26"/>
      <c r="Q39" s="26">
        <f>'Walgreens National'!U39</f>
        <v>42361.400477967625</v>
      </c>
      <c r="R39" s="26">
        <f>Walmart!$H39</f>
        <v>24100.11</v>
      </c>
      <c r="S39" s="61">
        <f t="shared" si="0"/>
        <v>377523.15035057405</v>
      </c>
    </row>
    <row r="40" spans="1:19" x14ac:dyDescent="0.35">
      <c r="A40" s="3" t="s">
        <v>63</v>
      </c>
      <c r="B40" s="14" t="s">
        <v>64</v>
      </c>
      <c r="C40" s="26">
        <f>Allergan!$M40</f>
        <v>5806.2893891509175</v>
      </c>
      <c r="D40" s="26">
        <f>CVS!$P40</f>
        <v>12496.762702602087</v>
      </c>
      <c r="E40" s="26">
        <f>Distributors!$Z40</f>
        <v>52779.406296004636</v>
      </c>
      <c r="F40" s="26">
        <f>Janssen!$S40</f>
        <v>12406.50619811556</v>
      </c>
      <c r="G40" s="26">
        <v>0</v>
      </c>
      <c r="H40" s="26">
        <f>Kroger!P40</f>
        <v>6732.9958612276996</v>
      </c>
      <c r="I40" s="26">
        <v>0</v>
      </c>
      <c r="J40" s="26">
        <v>0</v>
      </c>
      <c r="K40" s="26">
        <f>Masters!C40</f>
        <v>0</v>
      </c>
      <c r="L40" s="62">
        <v>0</v>
      </c>
      <c r="M40" s="26">
        <v>0</v>
      </c>
      <c r="N40" s="26">
        <v>0</v>
      </c>
      <c r="O40" s="26">
        <f>Teva!$S40</f>
        <v>9486.1957162308772</v>
      </c>
      <c r="P40" s="26"/>
      <c r="Q40" s="26">
        <f>'Walgreens National'!U40</f>
        <v>13578.583633838445</v>
      </c>
      <c r="R40" s="26">
        <f>Walmart!$H40</f>
        <v>7725.08</v>
      </c>
      <c r="S40" s="61">
        <f t="shared" si="0"/>
        <v>121011.81979717022</v>
      </c>
    </row>
    <row r="41" spans="1:19" x14ac:dyDescent="0.35">
      <c r="A41" s="3" t="s">
        <v>14</v>
      </c>
      <c r="B41" s="14" t="s">
        <v>65</v>
      </c>
      <c r="C41" s="26">
        <f>Allergan!$M41</f>
        <v>0</v>
      </c>
      <c r="D41" s="26">
        <f>CVS!$P41</f>
        <v>0</v>
      </c>
      <c r="E41" s="26">
        <f>Distributors!$Z41</f>
        <v>0</v>
      </c>
      <c r="F41" s="26">
        <f>Janssen!$S41</f>
        <v>0</v>
      </c>
      <c r="G41" s="26">
        <v>0</v>
      </c>
      <c r="H41" s="26">
        <f>Kroger!P41</f>
        <v>2913.5204176002781</v>
      </c>
      <c r="I41" s="26">
        <v>0</v>
      </c>
      <c r="J41" s="26">
        <v>0</v>
      </c>
      <c r="K41" s="26">
        <f>Masters!C41</f>
        <v>0</v>
      </c>
      <c r="L41" s="62">
        <v>0</v>
      </c>
      <c r="M41" s="26">
        <v>0</v>
      </c>
      <c r="N41" s="26">
        <v>0</v>
      </c>
      <c r="O41" s="26">
        <f>Teva!$S41</f>
        <v>0</v>
      </c>
      <c r="P41" s="26"/>
      <c r="Q41" s="26">
        <f>'Walgreens National'!U41</f>
        <v>5223.3674766099575</v>
      </c>
      <c r="R41" s="26">
        <f>Walmart!$H41</f>
        <v>0</v>
      </c>
      <c r="S41" s="61">
        <f t="shared" si="0"/>
        <v>8136.8878942102356</v>
      </c>
    </row>
    <row r="42" spans="1:19" x14ac:dyDescent="0.35">
      <c r="A42" s="3" t="s">
        <v>66</v>
      </c>
      <c r="B42" s="14" t="s">
        <v>67</v>
      </c>
      <c r="C42" s="26">
        <f>Allergan!$M42</f>
        <v>17360.172296524412</v>
      </c>
      <c r="D42" s="26">
        <f>CVS!$P42</f>
        <v>37363.894833964434</v>
      </c>
      <c r="E42" s="26">
        <f>Distributors!$Z42</f>
        <v>157804.53229337133</v>
      </c>
      <c r="F42" s="26">
        <f>Janssen!$S42</f>
        <v>37094.076881647517</v>
      </c>
      <c r="G42" s="26">
        <v>0</v>
      </c>
      <c r="H42" s="26">
        <f>Kroger!P42</f>
        <v>20130.904266023299</v>
      </c>
      <c r="I42" s="26">
        <v>0</v>
      </c>
      <c r="J42" s="26">
        <v>0</v>
      </c>
      <c r="K42" s="26">
        <f>Masters!C42</f>
        <v>0</v>
      </c>
      <c r="L42" s="62">
        <v>0</v>
      </c>
      <c r="M42" s="26">
        <v>0</v>
      </c>
      <c r="N42" s="26">
        <v>0</v>
      </c>
      <c r="O42" s="26">
        <f>Teva!$S42</f>
        <v>28362.668232201868</v>
      </c>
      <c r="P42" s="26"/>
      <c r="Q42" s="26">
        <f>'Walgreens National'!U42</f>
        <v>40598.46094098936</v>
      </c>
      <c r="R42" s="26">
        <f>Walmart!$H42</f>
        <v>23097.14</v>
      </c>
      <c r="S42" s="61">
        <f t="shared" si="0"/>
        <v>361811.84974472225</v>
      </c>
    </row>
    <row r="43" spans="1:19" x14ac:dyDescent="0.35">
      <c r="A43" s="3" t="s">
        <v>14</v>
      </c>
      <c r="B43" s="14" t="s">
        <v>68</v>
      </c>
      <c r="C43" s="26">
        <f>Allergan!$M43</f>
        <v>827.06</v>
      </c>
      <c r="D43" s="26">
        <f>CVS!$P43</f>
        <v>1839.76</v>
      </c>
      <c r="E43" s="26">
        <f>Distributors!$Z43</f>
        <v>7340.5458328714467</v>
      </c>
      <c r="F43" s="26">
        <f>Janssen!$S43</f>
        <v>1725.5131218242304</v>
      </c>
      <c r="G43" s="26">
        <v>0</v>
      </c>
      <c r="H43" s="26">
        <f>Kroger!P43</f>
        <v>936.42561075970843</v>
      </c>
      <c r="I43" s="26">
        <v>0</v>
      </c>
      <c r="J43" s="26">
        <v>0</v>
      </c>
      <c r="K43" s="26">
        <f>Masters!C43</f>
        <v>0</v>
      </c>
      <c r="L43" s="62">
        <v>0</v>
      </c>
      <c r="M43" s="26">
        <v>0</v>
      </c>
      <c r="N43" s="26">
        <v>0</v>
      </c>
      <c r="O43" s="26">
        <f>Teva!$S43</f>
        <v>1327.898144846105</v>
      </c>
      <c r="P43" s="26"/>
      <c r="Q43" s="26">
        <f>'Walgreens National'!U43</f>
        <v>3674.9064293461151</v>
      </c>
      <c r="R43" s="26">
        <f>Walmart!$H43</f>
        <v>1074.4099999999999</v>
      </c>
      <c r="S43" s="61">
        <f t="shared" si="0"/>
        <v>18746.519139647604</v>
      </c>
    </row>
    <row r="44" spans="1:19" x14ac:dyDescent="0.35">
      <c r="A44" s="3" t="s">
        <v>42</v>
      </c>
      <c r="B44" s="14" t="s">
        <v>42</v>
      </c>
      <c r="C44" s="26">
        <f>Allergan!$M44</f>
        <v>541881.41623179638</v>
      </c>
      <c r="D44" s="26">
        <f>CVS!$P44</f>
        <v>1166278.7641561951</v>
      </c>
      <c r="E44" s="26">
        <f>Distributors!$Z44</f>
        <v>5054891.4298138823</v>
      </c>
      <c r="F44" s="26">
        <f>Janssen!$S44</f>
        <v>1166628.4725570017</v>
      </c>
      <c r="G44" s="26">
        <v>0</v>
      </c>
      <c r="H44" s="26">
        <f>Kroger!P44</f>
        <v>335247.83221530309</v>
      </c>
      <c r="I44" s="26">
        <v>0</v>
      </c>
      <c r="J44" s="26">
        <v>0</v>
      </c>
      <c r="K44" s="26">
        <f>Masters!C44</f>
        <v>0</v>
      </c>
      <c r="L44" s="62">
        <v>0</v>
      </c>
      <c r="M44" s="26">
        <f>Meijer!D5</f>
        <v>562500</v>
      </c>
      <c r="N44" s="26">
        <v>0</v>
      </c>
      <c r="O44" s="26">
        <f>Teva!$S44</f>
        <v>885313.92437183752</v>
      </c>
      <c r="P44" s="26"/>
      <c r="Q44" s="26">
        <f>'Walgreens National'!U44</f>
        <v>1267242.5038389866</v>
      </c>
      <c r="R44" s="26">
        <f>Walmart!$H44</f>
        <v>720955.34000000008</v>
      </c>
      <c r="S44" s="61">
        <f t="shared" si="0"/>
        <v>11700939.683185002</v>
      </c>
    </row>
    <row r="45" spans="1:19" x14ac:dyDescent="0.35">
      <c r="A45" s="3" t="s">
        <v>14</v>
      </c>
      <c r="B45" s="14" t="s">
        <v>69</v>
      </c>
      <c r="C45" s="26">
        <f>Allergan!$M45</f>
        <v>992.47</v>
      </c>
      <c r="D45" s="26">
        <f>CVS!$P45</f>
        <v>2207.71</v>
      </c>
      <c r="E45" s="26">
        <f>Distributors!$Z45</f>
        <v>8808.6889465407367</v>
      </c>
      <c r="F45" s="26">
        <f>Janssen!$S45</f>
        <v>2070.599741563628</v>
      </c>
      <c r="G45" s="26">
        <v>0</v>
      </c>
      <c r="H45" s="26">
        <f>Kroger!P45</f>
        <v>1123.7107247956187</v>
      </c>
      <c r="I45" s="26">
        <v>0</v>
      </c>
      <c r="J45" s="26">
        <v>0</v>
      </c>
      <c r="K45" s="26">
        <f>Masters!C45</f>
        <v>0</v>
      </c>
      <c r="L45" s="62">
        <v>0</v>
      </c>
      <c r="M45" s="26">
        <v>0</v>
      </c>
      <c r="N45" s="26">
        <v>0</v>
      </c>
      <c r="O45" s="26">
        <f>Teva!$S45</f>
        <v>1593.4777623063892</v>
      </c>
      <c r="P45" s="26"/>
      <c r="Q45" s="26">
        <f>'Walgreens National'!U45</f>
        <v>2014.5917006648951</v>
      </c>
      <c r="R45" s="26">
        <f>Walmart!$H45</f>
        <v>1289.29</v>
      </c>
      <c r="S45" s="61">
        <f t="shared" si="0"/>
        <v>20100.538875871272</v>
      </c>
    </row>
    <row r="46" spans="1:19" x14ac:dyDescent="0.35">
      <c r="A46" s="3" t="s">
        <v>22</v>
      </c>
      <c r="B46" s="14" t="s">
        <v>70</v>
      </c>
      <c r="C46" s="26">
        <f>Allergan!$M46</f>
        <v>77169.823895992202</v>
      </c>
      <c r="D46" s="26">
        <f>CVS!$P46</f>
        <v>166090.81969612962</v>
      </c>
      <c r="E46" s="26">
        <f>Distributors!$Z46</f>
        <v>746533.57390439243</v>
      </c>
      <c r="F46" s="26">
        <f>Janssen!$S46</f>
        <v>172293.96283734671</v>
      </c>
      <c r="G46" s="26">
        <v>0</v>
      </c>
      <c r="H46" s="26">
        <f>Kroger!P46</f>
        <v>47742.94720655062</v>
      </c>
      <c r="I46" s="26">
        <v>0</v>
      </c>
      <c r="J46" s="26">
        <v>0</v>
      </c>
      <c r="K46" s="26">
        <f>Masters!C46</f>
        <v>0</v>
      </c>
      <c r="L46" s="62">
        <v>0</v>
      </c>
      <c r="M46" s="26">
        <f>Meijer!D6</f>
        <v>17634.915000000001</v>
      </c>
      <c r="N46" s="26">
        <v>0</v>
      </c>
      <c r="O46" s="26">
        <f>Teva!$S46</f>
        <v>126078.35858637783</v>
      </c>
      <c r="P46" s="26"/>
      <c r="Q46" s="26">
        <f>'Walgreens National'!U46</f>
        <v>180469.14798371296</v>
      </c>
      <c r="R46" s="26">
        <f>Walmart!$H46</f>
        <v>102671.9</v>
      </c>
      <c r="S46" s="61">
        <f t="shared" si="0"/>
        <v>1636685.4491105024</v>
      </c>
    </row>
    <row r="47" spans="1:19" x14ac:dyDescent="0.35">
      <c r="A47" s="3" t="s">
        <v>14</v>
      </c>
      <c r="B47" s="14" t="s">
        <v>71</v>
      </c>
      <c r="C47" s="26">
        <f>Allergan!$M47</f>
        <v>3548.6052350063196</v>
      </c>
      <c r="D47" s="26">
        <f>CVS!$P47</f>
        <v>7637.5785498690584</v>
      </c>
      <c r="E47" s="26">
        <f>Distributors!$Z47</f>
        <v>32256.937696965204</v>
      </c>
      <c r="F47" s="26">
        <f>Janssen!$S47</f>
        <v>7582.4248806836049</v>
      </c>
      <c r="G47" s="26">
        <v>0</v>
      </c>
      <c r="H47" s="26">
        <f>Kroger!P47</f>
        <v>4114.9721518865354</v>
      </c>
      <c r="I47" s="26">
        <v>0</v>
      </c>
      <c r="J47" s="26">
        <v>0</v>
      </c>
      <c r="K47" s="26">
        <f>Masters!C47</f>
        <v>0</v>
      </c>
      <c r="L47" s="62">
        <v>0</v>
      </c>
      <c r="M47" s="26">
        <v>0</v>
      </c>
      <c r="N47" s="26">
        <v>0</v>
      </c>
      <c r="O47" s="26">
        <f>Teva!$S47</f>
        <v>5797.6324078824337</v>
      </c>
      <c r="P47" s="26"/>
      <c r="Q47" s="26">
        <f>'Walgreens National'!U47</f>
        <v>8298.763474471878</v>
      </c>
      <c r="R47" s="26">
        <f>Walmart!$H47</f>
        <v>4721.3</v>
      </c>
      <c r="S47" s="61">
        <f t="shared" si="0"/>
        <v>73958.214396765034</v>
      </c>
    </row>
    <row r="48" spans="1:19" x14ac:dyDescent="0.35">
      <c r="A48" s="3" t="s">
        <v>72</v>
      </c>
      <c r="B48" s="14" t="s">
        <v>72</v>
      </c>
      <c r="C48" s="26">
        <f>Allergan!$M48</f>
        <v>120861.05614325109</v>
      </c>
      <c r="D48" s="26">
        <f>CVS!$P48</f>
        <v>260126.43299255503</v>
      </c>
      <c r="E48" s="26">
        <f>Distributors!$Z48</f>
        <v>1169198.3926653138</v>
      </c>
      <c r="F48" s="26">
        <f>Janssen!$S48</f>
        <v>269841.63854676904</v>
      </c>
      <c r="G48" s="26">
        <v>0</v>
      </c>
      <c r="H48" s="26">
        <f>Kroger!P48</f>
        <v>74773.565815617971</v>
      </c>
      <c r="I48" s="26">
        <v>0</v>
      </c>
      <c r="J48" s="26">
        <v>0</v>
      </c>
      <c r="K48" s="26">
        <f>Masters!C48</f>
        <v>0</v>
      </c>
      <c r="L48" s="62">
        <v>0</v>
      </c>
      <c r="M48" s="26">
        <v>0</v>
      </c>
      <c r="N48" s="26">
        <v>0</v>
      </c>
      <c r="O48" s="26">
        <f>Teva!$S48</f>
        <v>197460.12942707544</v>
      </c>
      <c r="P48" s="26"/>
      <c r="Q48" s="26">
        <f>'Walgreens National'!U48</f>
        <v>282645.3447453127</v>
      </c>
      <c r="R48" s="26">
        <f>Walmart!$H48</f>
        <v>160801.63999999998</v>
      </c>
      <c r="S48" s="61">
        <f t="shared" si="0"/>
        <v>2535708.2003358952</v>
      </c>
    </row>
    <row r="49" spans="1:19" x14ac:dyDescent="0.35">
      <c r="A49" s="3" t="s">
        <v>73</v>
      </c>
      <c r="B49" s="14" t="s">
        <v>73</v>
      </c>
      <c r="C49" s="26">
        <f>Allergan!$M49</f>
        <v>62747.638351795067</v>
      </c>
      <c r="D49" s="26">
        <f>CVS!$P49</f>
        <v>135050.28408588009</v>
      </c>
      <c r="E49" s="26">
        <f>Distributors!$Z49</f>
        <v>607014.72561588429</v>
      </c>
      <c r="F49" s="26">
        <f>Janssen!$S49</f>
        <v>140094.15036952021</v>
      </c>
      <c r="G49" s="26">
        <v>0</v>
      </c>
      <c r="H49" s="26">
        <f>Kroger!P49</f>
        <v>38820.319427601222</v>
      </c>
      <c r="I49" s="26">
        <v>0</v>
      </c>
      <c r="J49" s="26">
        <v>0</v>
      </c>
      <c r="K49" s="26">
        <f>Masters!C49</f>
        <v>0</v>
      </c>
      <c r="L49" s="62">
        <v>0</v>
      </c>
      <c r="M49" s="26">
        <v>0</v>
      </c>
      <c r="N49" s="26">
        <v>0</v>
      </c>
      <c r="O49" s="26">
        <f>Teva!$S49</f>
        <v>102515.7126655287</v>
      </c>
      <c r="P49" s="26"/>
      <c r="Q49" s="26">
        <f>'Walgreens National'!U49</f>
        <v>146741.46683356768</v>
      </c>
      <c r="R49" s="26">
        <f>Walmart!$H49</f>
        <v>83483.66</v>
      </c>
      <c r="S49" s="61">
        <f t="shared" si="0"/>
        <v>1316467.9573497772</v>
      </c>
    </row>
    <row r="50" spans="1:19" x14ac:dyDescent="0.35">
      <c r="A50" s="3" t="s">
        <v>74</v>
      </c>
      <c r="B50" s="14" t="s">
        <v>74</v>
      </c>
      <c r="C50" s="26">
        <f>Allergan!$M50</f>
        <v>92743.779361370733</v>
      </c>
      <c r="D50" s="26">
        <f>CVS!$P50</f>
        <v>199610.28371128373</v>
      </c>
      <c r="E50" s="26">
        <f>Distributors!$Z50</f>
        <v>865151.89112483873</v>
      </c>
      <c r="F50" s="26">
        <f>Janssen!$S50</f>
        <v>199670.13379812756</v>
      </c>
      <c r="G50" s="26">
        <v>0</v>
      </c>
      <c r="H50" s="26">
        <f>Kroger!P50</f>
        <v>57378.146349191629</v>
      </c>
      <c r="I50" s="26">
        <v>0</v>
      </c>
      <c r="J50" s="26">
        <v>0</v>
      </c>
      <c r="K50" s="26">
        <f>Masters!C50</f>
        <v>0</v>
      </c>
      <c r="L50" s="62">
        <v>0</v>
      </c>
      <c r="M50" s="26">
        <v>0</v>
      </c>
      <c r="N50" s="26">
        <v>0</v>
      </c>
      <c r="O50" s="26">
        <f>Teva!$S50</f>
        <v>151522.74355327163</v>
      </c>
      <c r="P50" s="26"/>
      <c r="Q50" s="26">
        <f>'Walgreens National'!U50</f>
        <v>216890.3634704868</v>
      </c>
      <c r="R50" s="26">
        <f>Walmart!$H50</f>
        <v>123392.53</v>
      </c>
      <c r="S50" s="61">
        <f t="shared" si="0"/>
        <v>1906359.871368571</v>
      </c>
    </row>
    <row r="51" spans="1:19" x14ac:dyDescent="0.35">
      <c r="A51" s="3" t="s">
        <v>75</v>
      </c>
      <c r="B51" s="14" t="s">
        <v>76</v>
      </c>
      <c r="C51" s="26">
        <f>Allergan!$M51</f>
        <v>36969.143773071402</v>
      </c>
      <c r="D51" s="26">
        <f>CVS!$P51</f>
        <v>79567.825267347856</v>
      </c>
      <c r="E51" s="26">
        <f>Distributors!$Z51</f>
        <v>336050.68145370833</v>
      </c>
      <c r="F51" s="26">
        <f>Janssen!$S51</f>
        <v>78993.246181222552</v>
      </c>
      <c r="G51" s="26">
        <v>0</v>
      </c>
      <c r="H51" s="26">
        <f>Kroger!P51</f>
        <v>42869.516846663966</v>
      </c>
      <c r="I51" s="26">
        <v>0</v>
      </c>
      <c r="J51" s="26">
        <v>0</v>
      </c>
      <c r="K51" s="26">
        <f>Masters!C51</f>
        <v>0</v>
      </c>
      <c r="L51" s="62">
        <v>0</v>
      </c>
      <c r="M51" s="26">
        <v>0</v>
      </c>
      <c r="N51" s="26">
        <v>0</v>
      </c>
      <c r="O51" s="26">
        <f>Teva!$S51</f>
        <v>60399.366336931846</v>
      </c>
      <c r="P51" s="26"/>
      <c r="Q51" s="26">
        <f>'Walgreens National'!U51</f>
        <v>86455.938573105523</v>
      </c>
      <c r="R51" s="26">
        <f>Walmart!$H51</f>
        <v>49186.22</v>
      </c>
      <c r="S51" s="61">
        <f t="shared" si="0"/>
        <v>770491.93843205145</v>
      </c>
    </row>
    <row r="52" spans="1:19" x14ac:dyDescent="0.35">
      <c r="A52" s="3" t="s">
        <v>77</v>
      </c>
      <c r="B52" s="14" t="s">
        <v>77</v>
      </c>
      <c r="C52" s="26">
        <f>Allergan!$M52</f>
        <v>78482.364047105686</v>
      </c>
      <c r="D52" s="26">
        <f>CVS!$P52</f>
        <v>168915.78005962237</v>
      </c>
      <c r="E52" s="26">
        <f>Distributors!$Z52</f>
        <v>786346.4136045035</v>
      </c>
      <c r="F52" s="26">
        <f>Janssen!$S52</f>
        <v>181482.46677168593</v>
      </c>
      <c r="G52" s="26">
        <v>0</v>
      </c>
      <c r="H52" s="26">
        <f>Kroger!P52</f>
        <v>48554.985485584679</v>
      </c>
      <c r="I52" s="26">
        <v>0</v>
      </c>
      <c r="J52" s="26">
        <v>0</v>
      </c>
      <c r="K52" s="26">
        <f>Masters!C52</f>
        <v>836.46</v>
      </c>
      <c r="L52" s="62">
        <v>0</v>
      </c>
      <c r="M52" s="26">
        <v>0</v>
      </c>
      <c r="N52" s="26">
        <v>0</v>
      </c>
      <c r="O52" s="26">
        <f>Teva!$S52</f>
        <v>128222.77013758359</v>
      </c>
      <c r="P52" s="26"/>
      <c r="Q52" s="26">
        <f>'Walgreens National'!U52</f>
        <v>183538.66250118215</v>
      </c>
      <c r="R52" s="26">
        <f>Walmart!$H52</f>
        <v>104418.19999999998</v>
      </c>
      <c r="S52" s="61">
        <f t="shared" si="0"/>
        <v>1680798.1026072679</v>
      </c>
    </row>
    <row r="53" spans="1:19" x14ac:dyDescent="0.35">
      <c r="A53" s="3" t="s">
        <v>78</v>
      </c>
      <c r="B53" s="14" t="s">
        <v>78</v>
      </c>
      <c r="C53" s="26">
        <f>Allergan!$M53</f>
        <v>81984.874692228259</v>
      </c>
      <c r="D53" s="26">
        <f>CVS!$P53</f>
        <v>176454.12131782697</v>
      </c>
      <c r="E53" s="26">
        <f>Distributors!$Z53</f>
        <v>745245.06567236804</v>
      </c>
      <c r="F53" s="26">
        <f>Janssen!$S53</f>
        <v>175179.89836355261</v>
      </c>
      <c r="G53" s="26">
        <v>0</v>
      </c>
      <c r="H53" s="26">
        <f>Kroger!P53</f>
        <v>95069.87216345784</v>
      </c>
      <c r="I53" s="26">
        <v>0</v>
      </c>
      <c r="J53" s="26">
        <v>0</v>
      </c>
      <c r="K53" s="26">
        <f>Masters!C53</f>
        <v>0</v>
      </c>
      <c r="L53" s="62">
        <v>0</v>
      </c>
      <c r="M53" s="26">
        <v>0</v>
      </c>
      <c r="N53" s="26">
        <v>0</v>
      </c>
      <c r="O53" s="26">
        <f>Teva!$S53</f>
        <v>133945.07305923945</v>
      </c>
      <c r="P53" s="26"/>
      <c r="Q53" s="26">
        <f>'Walgreens National'!U53</f>
        <v>191729.60020663726</v>
      </c>
      <c r="R53" s="26">
        <f>Walmart!$H53</f>
        <v>109078.16</v>
      </c>
      <c r="S53" s="61">
        <f t="shared" si="0"/>
        <v>1708686.6654753103</v>
      </c>
    </row>
    <row r="54" spans="1:19" x14ac:dyDescent="0.35">
      <c r="A54" s="3" t="s">
        <v>34</v>
      </c>
      <c r="B54" s="14" t="s">
        <v>79</v>
      </c>
      <c r="C54" s="26">
        <f>Allergan!$M54</f>
        <v>4084.7908442814451</v>
      </c>
      <c r="D54" s="26">
        <f>CVS!$P54</f>
        <v>8791.6005336722046</v>
      </c>
      <c r="E54" s="26">
        <f>Distributors!$Z54</f>
        <v>37130.889643749717</v>
      </c>
      <c r="F54" s="26">
        <f>Janssen!$S54</f>
        <v>8728.1069949238154</v>
      </c>
      <c r="G54" s="26">
        <v>0</v>
      </c>
      <c r="H54" s="26">
        <f>Kroger!P54</f>
        <v>4736.7351071532203</v>
      </c>
      <c r="I54" s="26">
        <v>0</v>
      </c>
      <c r="J54" s="26">
        <v>0</v>
      </c>
      <c r="K54" s="26">
        <f>Masters!C54</f>
        <v>0</v>
      </c>
      <c r="L54" s="62">
        <v>0</v>
      </c>
      <c r="M54" s="26">
        <v>0</v>
      </c>
      <c r="N54" s="26">
        <v>0</v>
      </c>
      <c r="O54" s="26">
        <f>Teva!$S54</f>
        <v>6673.6425722558233</v>
      </c>
      <c r="P54" s="26"/>
      <c r="Q54" s="26">
        <f>'Walgreens National'!U54</f>
        <v>9552.6818232742062</v>
      </c>
      <c r="R54" s="26">
        <f>Walmart!$H54</f>
        <v>5434.68</v>
      </c>
      <c r="S54" s="61">
        <f t="shared" si="0"/>
        <v>85133.127519310423</v>
      </c>
    </row>
    <row r="55" spans="1:19" x14ac:dyDescent="0.35">
      <c r="A55" s="3" t="s">
        <v>75</v>
      </c>
      <c r="B55" s="14" t="s">
        <v>80</v>
      </c>
      <c r="C55" s="26">
        <f>Allergan!$M55</f>
        <v>202469.93780686246</v>
      </c>
      <c r="D55" s="26">
        <f>CVS!$P55</f>
        <v>411184.9527548562</v>
      </c>
      <c r="E55" s="26">
        <f>Distributors!$Z55</f>
        <v>1839346.2040013203</v>
      </c>
      <c r="F55" s="26">
        <f>Janssen!$S55</f>
        <v>426541.87738424918</v>
      </c>
      <c r="G55" s="26">
        <v>0</v>
      </c>
      <c r="H55" s="26">
        <f>Kroger!P55</f>
        <v>118195.46687983016</v>
      </c>
      <c r="I55" s="26">
        <v>0</v>
      </c>
      <c r="J55" s="26">
        <v>0</v>
      </c>
      <c r="K55" s="26">
        <f>Masters!C55</f>
        <v>0</v>
      </c>
      <c r="L55" s="62">
        <v>0</v>
      </c>
      <c r="M55" s="26">
        <f>Meijer!D7</f>
        <v>187500</v>
      </c>
      <c r="N55" s="26">
        <v>0</v>
      </c>
      <c r="O55" s="26">
        <f>Teva!$S55</f>
        <v>312127.57784155966</v>
      </c>
      <c r="P55" s="26"/>
      <c r="Q55" s="26">
        <f>'Walgreens National'!U55</f>
        <v>446780.86598730192</v>
      </c>
      <c r="R55" s="26">
        <f>Walmart!$H55</f>
        <v>254181.07</v>
      </c>
      <c r="S55" s="61">
        <f t="shared" si="0"/>
        <v>4198327.9526559804</v>
      </c>
    </row>
    <row r="56" spans="1:19" x14ac:dyDescent="0.35">
      <c r="A56" s="3" t="s">
        <v>40</v>
      </c>
      <c r="B56" s="14" t="s">
        <v>40</v>
      </c>
      <c r="C56" s="26">
        <f>Allergan!$M56</f>
        <v>158202.1377323698</v>
      </c>
      <c r="D56" s="26">
        <f>CVS!$P56</f>
        <v>340494.76797328511</v>
      </c>
      <c r="E56" s="26">
        <f>Distributors!$Z56</f>
        <v>1539252.1485825724</v>
      </c>
      <c r="F56" s="26">
        <f>Janssen!$S56</f>
        <v>353211.56676900195</v>
      </c>
      <c r="G56" s="26">
        <v>0</v>
      </c>
      <c r="H56" s="26">
        <f>Kroger!P56</f>
        <v>97875.51615864085</v>
      </c>
      <c r="I56" s="26">
        <v>0</v>
      </c>
      <c r="J56" s="26">
        <v>0</v>
      </c>
      <c r="K56" s="26">
        <f>Masters!C56</f>
        <v>2647.45</v>
      </c>
      <c r="L56" s="62">
        <v>0</v>
      </c>
      <c r="M56" s="26">
        <v>0</v>
      </c>
      <c r="N56" s="26">
        <v>0</v>
      </c>
      <c r="O56" s="26">
        <f>Teva!$S56</f>
        <v>258467.17028784956</v>
      </c>
      <c r="P56" s="26"/>
      <c r="Q56" s="26">
        <f>'Walgreens National'!U56</f>
        <v>369971.10808068403</v>
      </c>
      <c r="R56" s="26">
        <f>Walmart!$H56</f>
        <v>210482.72</v>
      </c>
      <c r="S56" s="61">
        <f t="shared" si="0"/>
        <v>3330604.5855844039</v>
      </c>
    </row>
    <row r="57" spans="1:19" x14ac:dyDescent="0.35">
      <c r="A57" s="3" t="s">
        <v>58</v>
      </c>
      <c r="B57" s="14" t="s">
        <v>81</v>
      </c>
      <c r="C57" s="26">
        <f>Allergan!$M57</f>
        <v>2317.73</v>
      </c>
      <c r="D57" s="26">
        <f>CVS!$P57</f>
        <v>5155.71</v>
      </c>
      <c r="E57" s="26">
        <f>Distributors!$Z57</f>
        <v>20571.056331668493</v>
      </c>
      <c r="F57" s="26">
        <f>Janssen!$S57</f>
        <v>4835.5032640818927</v>
      </c>
      <c r="G57" s="26">
        <v>0</v>
      </c>
      <c r="H57" s="26">
        <f>Kroger!P57</f>
        <v>2624.2210297427055</v>
      </c>
      <c r="I57" s="26">
        <v>0</v>
      </c>
      <c r="J57" s="26">
        <v>0</v>
      </c>
      <c r="K57" s="26">
        <f>Masters!C57</f>
        <v>0</v>
      </c>
      <c r="L57" s="62">
        <v>0</v>
      </c>
      <c r="M57" s="26">
        <v>0</v>
      </c>
      <c r="N57" s="26">
        <v>0</v>
      </c>
      <c r="O57" s="26">
        <f>Teva!$S57</f>
        <v>3721.2760917916253</v>
      </c>
      <c r="P57" s="26"/>
      <c r="Q57" s="26">
        <f>'Walgreens National'!U57</f>
        <v>10298.480732552182</v>
      </c>
      <c r="R57" s="26">
        <f>Walmart!$H57</f>
        <v>3010.89</v>
      </c>
      <c r="S57" s="61">
        <f t="shared" si="0"/>
        <v>52534.8674498369</v>
      </c>
    </row>
    <row r="58" spans="1:19" x14ac:dyDescent="0.35">
      <c r="A58" s="3" t="s">
        <v>34</v>
      </c>
      <c r="B58" s="14" t="s">
        <v>82</v>
      </c>
      <c r="C58" s="26">
        <f>Allergan!$M58</f>
        <v>0</v>
      </c>
      <c r="D58" s="26">
        <f>CVS!$P58</f>
        <v>0</v>
      </c>
      <c r="E58" s="26">
        <f>Distributors!$Z58</f>
        <v>52930.336173858064</v>
      </c>
      <c r="F58" s="26">
        <f>Janssen!$S58</f>
        <v>12441.987693911018</v>
      </c>
      <c r="G58" s="26">
        <v>0</v>
      </c>
      <c r="H58" s="26">
        <f>Kroger!P58</f>
        <v>6752.2469659208627</v>
      </c>
      <c r="I58" s="26">
        <v>0</v>
      </c>
      <c r="J58" s="26">
        <v>0</v>
      </c>
      <c r="K58" s="26">
        <f>Masters!C58</f>
        <v>0</v>
      </c>
      <c r="L58" s="62">
        <v>0</v>
      </c>
      <c r="M58" s="26">
        <v>0</v>
      </c>
      <c r="N58" s="26">
        <v>0</v>
      </c>
      <c r="O58" s="26">
        <f>Teva!$S58</f>
        <v>0</v>
      </c>
      <c r="P58" s="26"/>
      <c r="Q58" s="26">
        <f>'Walgreens National'!U58</f>
        <v>12105.447067667714</v>
      </c>
      <c r="R58" s="26">
        <f>Walmart!$H58</f>
        <v>0</v>
      </c>
      <c r="S58" s="61">
        <f t="shared" si="0"/>
        <v>84230.017901357656</v>
      </c>
    </row>
    <row r="59" spans="1:19" x14ac:dyDescent="0.35">
      <c r="A59" s="3" t="s">
        <v>83</v>
      </c>
      <c r="B59" s="14" t="s">
        <v>84</v>
      </c>
      <c r="C59" s="26">
        <f>Allergan!$M59</f>
        <v>2474.8897019450828</v>
      </c>
      <c r="D59" s="26">
        <f>CVS!$P59</f>
        <v>5326.6564871618011</v>
      </c>
      <c r="E59" s="26">
        <f>Distributors!$Z59</f>
        <v>22496.884663124652</v>
      </c>
      <c r="F59" s="26">
        <f>Janssen!$S59</f>
        <v>5288.1859425609236</v>
      </c>
      <c r="G59" s="26">
        <v>0</v>
      </c>
      <c r="H59" s="26">
        <f>Kroger!P59</f>
        <v>2869.8938880310934</v>
      </c>
      <c r="I59" s="26">
        <v>0</v>
      </c>
      <c r="J59" s="26">
        <v>0</v>
      </c>
      <c r="K59" s="26">
        <f>Masters!C59</f>
        <v>0</v>
      </c>
      <c r="L59" s="62">
        <v>0</v>
      </c>
      <c r="M59" s="26">
        <v>0</v>
      </c>
      <c r="N59" s="26">
        <v>0</v>
      </c>
      <c r="O59" s="26">
        <f>Teva!$S59</f>
        <v>4043.4314656222828</v>
      </c>
      <c r="P59" s="26"/>
      <c r="Q59" s="26">
        <f>'Walgreens National'!U59</f>
        <v>5787.7837135306063</v>
      </c>
      <c r="R59" s="26">
        <f>Walmart!$H59</f>
        <v>3292.77</v>
      </c>
      <c r="S59" s="61">
        <f t="shared" si="0"/>
        <v>51580.495861976444</v>
      </c>
    </row>
    <row r="60" spans="1:19" x14ac:dyDescent="0.35">
      <c r="A60" s="3" t="s">
        <v>83</v>
      </c>
      <c r="B60" s="14" t="s">
        <v>85</v>
      </c>
      <c r="C60" s="26">
        <f>Allergan!$M60</f>
        <v>287.63</v>
      </c>
      <c r="D60" s="26">
        <f>CVS!$P60</f>
        <v>639.82000000000005</v>
      </c>
      <c r="E60" s="26">
        <f>Distributors!$Z60</f>
        <v>2409.09</v>
      </c>
      <c r="F60" s="26">
        <f>Janssen!$S60</f>
        <v>636.54999999999995</v>
      </c>
      <c r="G60" s="26">
        <v>0</v>
      </c>
      <c r="H60" s="26">
        <f>Kroger!P60</f>
        <v>325.66156208959296</v>
      </c>
      <c r="I60" s="26">
        <v>0</v>
      </c>
      <c r="J60" s="26">
        <v>0</v>
      </c>
      <c r="K60" s="26">
        <f>Masters!C60</f>
        <v>0</v>
      </c>
      <c r="L60" s="62">
        <v>0</v>
      </c>
      <c r="M60" s="26">
        <v>0</v>
      </c>
      <c r="N60" s="26">
        <v>0</v>
      </c>
      <c r="O60" s="26">
        <f>Teva!$S60</f>
        <v>461.80431117813885</v>
      </c>
      <c r="P60" s="26"/>
      <c r="Q60" s="26">
        <f>'Walgreens National'!U60</f>
        <v>1278.0269507626942</v>
      </c>
      <c r="R60" s="26">
        <f>Walmart!$H60</f>
        <v>373.65</v>
      </c>
      <c r="S60" s="61">
        <f t="shared" si="0"/>
        <v>6412.2328240304259</v>
      </c>
    </row>
    <row r="61" spans="1:19" x14ac:dyDescent="0.35">
      <c r="A61" s="3" t="s">
        <v>86</v>
      </c>
      <c r="B61" s="14" t="s">
        <v>86</v>
      </c>
      <c r="C61" s="26">
        <f>Allergan!$M61</f>
        <v>84515.894415099756</v>
      </c>
      <c r="D61" s="26">
        <f>CVS!$P61</f>
        <v>181901.60204291623</v>
      </c>
      <c r="E61" s="26">
        <f>Distributors!$Z61</f>
        <v>817598.83630019613</v>
      </c>
      <c r="F61" s="26">
        <f>Janssen!$S61</f>
        <v>188695.26817431665</v>
      </c>
      <c r="G61" s="26">
        <v>0</v>
      </c>
      <c r="H61" s="26">
        <f>Kroger!P61</f>
        <v>52287.772218315746</v>
      </c>
      <c r="I61" s="26">
        <v>0</v>
      </c>
      <c r="J61" s="26">
        <v>0</v>
      </c>
      <c r="K61" s="26">
        <f>Masters!C61</f>
        <v>0</v>
      </c>
      <c r="L61" s="62">
        <v>0</v>
      </c>
      <c r="M61" s="26">
        <v>0</v>
      </c>
      <c r="N61" s="26">
        <v>0</v>
      </c>
      <c r="O61" s="26">
        <f>Teva!$S61</f>
        <v>138080.21871521592</v>
      </c>
      <c r="P61" s="26"/>
      <c r="Q61" s="26">
        <f>'Walgreens National'!U61</f>
        <v>197648.66224677689</v>
      </c>
      <c r="R61" s="26">
        <f>Walmart!$H61</f>
        <v>112445.62</v>
      </c>
      <c r="S61" s="61">
        <f t="shared" si="0"/>
        <v>1773173.8741128375</v>
      </c>
    </row>
    <row r="62" spans="1:19" x14ac:dyDescent="0.35">
      <c r="A62" s="3" t="s">
        <v>63</v>
      </c>
      <c r="B62" s="14" t="s">
        <v>87</v>
      </c>
      <c r="C62" s="26">
        <f>Allergan!$M62</f>
        <v>2206.3987203735069</v>
      </c>
      <c r="D62" s="26">
        <f>CVS!$P62</f>
        <v>5574.1904524807806</v>
      </c>
      <c r="E62" s="26">
        <f>Distributors!$Z62</f>
        <v>23542.311709823283</v>
      </c>
      <c r="F62" s="26">
        <f>Janssen!$S62</f>
        <v>5533.9441199591747</v>
      </c>
      <c r="G62" s="26">
        <v>0</v>
      </c>
      <c r="H62" s="26">
        <f>Kroger!P62</f>
        <v>3003.2614258681456</v>
      </c>
      <c r="I62" s="26">
        <v>0</v>
      </c>
      <c r="J62" s="26">
        <v>0</v>
      </c>
      <c r="K62" s="26">
        <f>Masters!C62</f>
        <v>0</v>
      </c>
      <c r="L62" s="62">
        <v>0</v>
      </c>
      <c r="M62" s="26">
        <v>0</v>
      </c>
      <c r="N62" s="26">
        <v>0</v>
      </c>
      <c r="O62" s="26">
        <f>Teva!$S62</f>
        <v>4231.3278350101627</v>
      </c>
      <c r="P62" s="26"/>
      <c r="Q62" s="26"/>
      <c r="R62" s="26">
        <f>Walmart!$H62</f>
        <v>3445.79</v>
      </c>
      <c r="S62" s="61">
        <f t="shared" si="0"/>
        <v>47537.224263515054</v>
      </c>
    </row>
    <row r="63" spans="1:19" x14ac:dyDescent="0.35">
      <c r="A63" s="3" t="s">
        <v>22</v>
      </c>
      <c r="B63" s="14" t="s">
        <v>88</v>
      </c>
      <c r="C63" s="26">
        <f>Allergan!$M63</f>
        <v>87746.605890349165</v>
      </c>
      <c r="D63" s="26">
        <f>CVS!$P63</f>
        <v>188854.98681182889</v>
      </c>
      <c r="E63" s="26">
        <f>Distributors!$Z63</f>
        <v>797619.48193395208</v>
      </c>
      <c r="F63" s="26">
        <f>Janssen!$S63</f>
        <v>187491.22010929609</v>
      </c>
      <c r="G63" s="26">
        <v>0</v>
      </c>
      <c r="H63" s="26">
        <f>Kroger!P63</f>
        <v>101751.20339792754</v>
      </c>
      <c r="I63" s="26">
        <v>0</v>
      </c>
      <c r="J63" s="26">
        <v>0</v>
      </c>
      <c r="K63" s="26">
        <f>Masters!C63</f>
        <v>0</v>
      </c>
      <c r="L63" s="62">
        <v>0</v>
      </c>
      <c r="M63" s="26">
        <v>0</v>
      </c>
      <c r="N63" s="26">
        <v>0</v>
      </c>
      <c r="O63" s="26">
        <f>Teva!$S63</f>
        <v>143358.47693841948</v>
      </c>
      <c r="P63" s="26"/>
      <c r="Q63" s="26">
        <f>'Walgreens National'!U63</f>
        <v>205203.99935448659</v>
      </c>
      <c r="R63" s="26">
        <f>Walmart!$H63</f>
        <v>116743.96</v>
      </c>
      <c r="S63" s="61">
        <f t="shared" si="0"/>
        <v>1828769.9344362598</v>
      </c>
    </row>
    <row r="64" spans="1:19" x14ac:dyDescent="0.35">
      <c r="A64" s="3" t="s">
        <v>22</v>
      </c>
      <c r="B64" s="14" t="s">
        <v>89</v>
      </c>
      <c r="C64" s="26">
        <f>Allergan!$M64</f>
        <v>30852.33054176133</v>
      </c>
      <c r="D64" s="26">
        <f>CVS!$P64</f>
        <v>66402.762158653553</v>
      </c>
      <c r="E64" s="26">
        <f>Distributors!$Z64</f>
        <v>280448.72959297412</v>
      </c>
      <c r="F64" s="26">
        <f>Janssen!$S64</f>
        <v>65923.261496013773</v>
      </c>
      <c r="G64" s="26">
        <v>0</v>
      </c>
      <c r="H64" s="26">
        <f>Kroger!P64</f>
        <v>35776.452482234439</v>
      </c>
      <c r="I64" s="26">
        <v>0</v>
      </c>
      <c r="J64" s="26">
        <v>0</v>
      </c>
      <c r="K64" s="26">
        <f>Masters!C64</f>
        <v>0</v>
      </c>
      <c r="L64" s="62">
        <v>0</v>
      </c>
      <c r="M64" s="26">
        <v>0</v>
      </c>
      <c r="N64" s="26">
        <v>0</v>
      </c>
      <c r="O64" s="26">
        <f>Teva!$S64</f>
        <v>50405.869619870711</v>
      </c>
      <c r="P64" s="26"/>
      <c r="Q64" s="26">
        <f>'Walgreens National'!U64</f>
        <v>72151.193129153631</v>
      </c>
      <c r="R64" s="26">
        <f>Walmart!$H64</f>
        <v>41048.020000000004</v>
      </c>
      <c r="S64" s="61">
        <f t="shared" si="0"/>
        <v>643008.61902066157</v>
      </c>
    </row>
    <row r="65" spans="1:19" x14ac:dyDescent="0.35">
      <c r="A65" s="3" t="s">
        <v>90</v>
      </c>
      <c r="B65" s="14" t="s">
        <v>91</v>
      </c>
      <c r="C65" s="26">
        <f>Allergan!$M65</f>
        <v>5761.3672003288357</v>
      </c>
      <c r="D65" s="26">
        <f>CVS!$P65</f>
        <v>12400.050338774816</v>
      </c>
      <c r="E65" s="26">
        <f>Distributors!$Z65</f>
        <v>52371.007298713848</v>
      </c>
      <c r="F65" s="26">
        <f>Janssen!$S65</f>
        <v>12310.504411418386</v>
      </c>
      <c r="G65" s="26">
        <v>0</v>
      </c>
      <c r="H65" s="26">
        <f>Kroger!P65</f>
        <v>6680.8972499817528</v>
      </c>
      <c r="I65" s="26">
        <v>0</v>
      </c>
      <c r="J65" s="26">
        <v>0</v>
      </c>
      <c r="K65" s="26">
        <f>Masters!C65</f>
        <v>0</v>
      </c>
      <c r="L65" s="62">
        <v>0</v>
      </c>
      <c r="M65" s="26">
        <v>0</v>
      </c>
      <c r="N65" s="26">
        <v>0</v>
      </c>
      <c r="O65" s="26">
        <f>Teva!$S65</f>
        <v>9412.7961896255074</v>
      </c>
      <c r="P65" s="26"/>
      <c r="Q65" s="26">
        <f>'Walgreens National'!U65</f>
        <v>13473.521099257003</v>
      </c>
      <c r="R65" s="26">
        <f>Walmart!$H65</f>
        <v>7665.3099999999995</v>
      </c>
      <c r="S65" s="61">
        <f t="shared" si="0"/>
        <v>120075.45378810015</v>
      </c>
    </row>
    <row r="66" spans="1:19" x14ac:dyDescent="0.35">
      <c r="A66" s="3" t="s">
        <v>92</v>
      </c>
      <c r="B66" s="14" t="s">
        <v>93</v>
      </c>
      <c r="C66" s="26">
        <f>Allergan!$M66</f>
        <v>11875.078108313221</v>
      </c>
      <c r="D66" s="26">
        <f>CVS!$P66</f>
        <v>25558.451655853929</v>
      </c>
      <c r="E66" s="26">
        <f>Distributors!$Z66</f>
        <v>107944.85369243092</v>
      </c>
      <c r="F66" s="26">
        <f>Janssen!$S66</f>
        <v>25373.894520941503</v>
      </c>
      <c r="G66" s="26">
        <v>0</v>
      </c>
      <c r="H66" s="26">
        <f>Kroger!P66</f>
        <v>13770.374105350405</v>
      </c>
      <c r="I66" s="26">
        <v>0</v>
      </c>
      <c r="J66" s="26">
        <v>0</v>
      </c>
      <c r="K66" s="26">
        <f>Masters!C66</f>
        <v>0</v>
      </c>
      <c r="L66" s="62">
        <v>0</v>
      </c>
      <c r="M66" s="26">
        <v>0</v>
      </c>
      <c r="N66" s="26">
        <v>0</v>
      </c>
      <c r="O66" s="26">
        <f>Teva!$S66</f>
        <v>19401.240131997576</v>
      </c>
      <c r="P66" s="26"/>
      <c r="Q66" s="26">
        <f>'Walgreens National'!U66</f>
        <v>27771.034847025348</v>
      </c>
      <c r="R66" s="26">
        <f>Walmart!$H66</f>
        <v>15799.4</v>
      </c>
      <c r="S66" s="61">
        <f t="shared" si="0"/>
        <v>247494.32706191289</v>
      </c>
    </row>
    <row r="67" spans="1:19" x14ac:dyDescent="0.35">
      <c r="A67" s="3" t="s">
        <v>94</v>
      </c>
      <c r="B67" s="14" t="s">
        <v>94</v>
      </c>
      <c r="C67" s="26">
        <f>Allergan!$M67</f>
        <v>76265.105706486182</v>
      </c>
      <c r="D67" s="26">
        <f>CVS!$P67</f>
        <v>164143.61364800719</v>
      </c>
      <c r="E67" s="26">
        <f>Distributors!$Z67</f>
        <v>764130.74783698516</v>
      </c>
      <c r="F67" s="26">
        <f>Janssen!$S67</f>
        <v>176355.27170910907</v>
      </c>
      <c r="G67" s="26">
        <v>0</v>
      </c>
      <c r="H67" s="26">
        <f>Kroger!P67</f>
        <v>47183.221592237358</v>
      </c>
      <c r="I67" s="26">
        <v>0</v>
      </c>
      <c r="J67" s="26">
        <v>0</v>
      </c>
      <c r="K67" s="26">
        <f>Masters!C67</f>
        <v>1717.6</v>
      </c>
      <c r="L67" s="62">
        <v>0</v>
      </c>
      <c r="M67" s="26">
        <v>0</v>
      </c>
      <c r="N67" s="26">
        <v>0</v>
      </c>
      <c r="O67" s="26">
        <f>Teva!$S67</f>
        <v>124600.24601433187</v>
      </c>
      <c r="P67" s="26"/>
      <c r="Q67" s="26">
        <f>'Walgreens National'!U67</f>
        <v>178353.38353170772</v>
      </c>
      <c r="R67" s="26">
        <f>Walmart!$H67</f>
        <v>101468.20000000001</v>
      </c>
      <c r="S67" s="61">
        <f t="shared" si="0"/>
        <v>1634217.3900388645</v>
      </c>
    </row>
    <row r="68" spans="1:19" x14ac:dyDescent="0.35">
      <c r="A68" s="3" t="s">
        <v>22</v>
      </c>
      <c r="B68" s="14" t="s">
        <v>95</v>
      </c>
      <c r="C68" s="26">
        <f>Allergan!$M68</f>
        <v>2141187.6497393376</v>
      </c>
      <c r="D68" s="26">
        <f>CVS!$P68</f>
        <v>4494613.0747729139</v>
      </c>
      <c r="E68" s="26">
        <f>Distributors!$Z68</f>
        <v>20923580.71054069</v>
      </c>
      <c r="F68" s="26">
        <f>Janssen!$S68</f>
        <v>4828994.9441559855</v>
      </c>
      <c r="G68" s="26">
        <v>0</v>
      </c>
      <c r="H68" s="26">
        <f>Kroger!P68</f>
        <v>1291980.3882225861</v>
      </c>
      <c r="I68" s="26">
        <v>0</v>
      </c>
      <c r="J68" s="26">
        <v>0</v>
      </c>
      <c r="K68" s="26">
        <f>Masters!C68</f>
        <v>52924.68</v>
      </c>
      <c r="L68" s="62">
        <v>0</v>
      </c>
      <c r="M68" s="26">
        <v>0</v>
      </c>
      <c r="N68" s="26">
        <v>0</v>
      </c>
      <c r="O68" s="26">
        <f>Teva!$S68</f>
        <v>3411828.8686961154</v>
      </c>
      <c r="P68" s="26"/>
      <c r="Q68" s="26">
        <f>'Walgreens National'!U68</f>
        <v>4883707.8098541126</v>
      </c>
      <c r="R68" s="26">
        <f>Walmart!$H68</f>
        <v>2778422.6100000003</v>
      </c>
      <c r="S68" s="61">
        <f t="shared" ref="S68:S131" si="1">SUM(C68:R68)</f>
        <v>44807240.735981733</v>
      </c>
    </row>
    <row r="69" spans="1:19" ht="18.75" customHeight="1" x14ac:dyDescent="0.35">
      <c r="A69" s="3" t="s">
        <v>22</v>
      </c>
      <c r="B69" s="14" t="s">
        <v>96</v>
      </c>
      <c r="C69" s="26">
        <f>Allergan!$M69</f>
        <v>0</v>
      </c>
      <c r="D69" s="26">
        <f>CVS!$P69</f>
        <v>1502.9</v>
      </c>
      <c r="E69" s="26">
        <f>Distributors!$Z69</f>
        <v>0</v>
      </c>
      <c r="F69" s="26">
        <f>Janssen!$S69</f>
        <v>0</v>
      </c>
      <c r="G69" s="26">
        <v>0</v>
      </c>
      <c r="H69" s="26">
        <f>Kroger!P69</f>
        <v>0</v>
      </c>
      <c r="I69" s="26">
        <v>0</v>
      </c>
      <c r="J69" s="26">
        <v>0</v>
      </c>
      <c r="K69" s="26">
        <f>Masters!C69</f>
        <v>0</v>
      </c>
      <c r="L69" s="62">
        <v>0</v>
      </c>
      <c r="M69" s="26">
        <v>0</v>
      </c>
      <c r="N69" s="26">
        <v>0</v>
      </c>
      <c r="O69" s="26">
        <f>Teva!$S69</f>
        <v>0</v>
      </c>
      <c r="P69" s="26"/>
      <c r="Q69" s="26">
        <f>'Walgreens National'!U69</f>
        <v>0</v>
      </c>
      <c r="R69" s="26">
        <f>Walmart!$H69</f>
        <v>0</v>
      </c>
      <c r="S69" s="61">
        <f t="shared" si="1"/>
        <v>1502.9</v>
      </c>
    </row>
    <row r="70" spans="1:19" x14ac:dyDescent="0.35">
      <c r="A70" s="3" t="s">
        <v>40</v>
      </c>
      <c r="B70" s="14" t="s">
        <v>97</v>
      </c>
      <c r="C70" s="26">
        <f>Allergan!$M70</f>
        <v>10767.126548938066</v>
      </c>
      <c r="D70" s="26">
        <f>CVS!$P70</f>
        <v>23173.832271307958</v>
      </c>
      <c r="E70" s="26">
        <f>Distributors!$Z70</f>
        <v>97873.508109116505</v>
      </c>
      <c r="F70" s="26">
        <f>Janssen!$S70</f>
        <v>23006.484278152842</v>
      </c>
      <c r="G70" s="26">
        <v>0</v>
      </c>
      <c r="H70" s="26">
        <f>Kroger!P70</f>
        <v>12485.585885478962</v>
      </c>
      <c r="I70" s="26">
        <v>0</v>
      </c>
      <c r="J70" s="26">
        <v>0</v>
      </c>
      <c r="K70" s="26">
        <f>Masters!C70</f>
        <v>0</v>
      </c>
      <c r="L70" s="62">
        <v>0</v>
      </c>
      <c r="M70" s="26">
        <v>0</v>
      </c>
      <c r="N70" s="26">
        <v>0</v>
      </c>
      <c r="O70" s="26">
        <f>Teva!$S70</f>
        <v>17591.085104486567</v>
      </c>
      <c r="P70" s="26"/>
      <c r="Q70" s="26">
        <f>'Walgreens National'!U70</f>
        <v>25179.97296692177</v>
      </c>
      <c r="R70" s="26">
        <f>Walmart!$H70</f>
        <v>14325.3</v>
      </c>
      <c r="S70" s="61">
        <f t="shared" si="1"/>
        <v>224402.89516440267</v>
      </c>
    </row>
    <row r="71" spans="1:19" x14ac:dyDescent="0.35">
      <c r="A71" s="3" t="s">
        <v>98</v>
      </c>
      <c r="B71" s="14" t="s">
        <v>98</v>
      </c>
      <c r="C71" s="26">
        <f>Allergan!$M71</f>
        <v>81197.51960957206</v>
      </c>
      <c r="D71" s="26">
        <f>CVS!$P71</f>
        <v>174759.52715731933</v>
      </c>
      <c r="E71" s="26">
        <f>Distributors!$Z71</f>
        <v>785497.12768776563</v>
      </c>
      <c r="F71" s="26">
        <f>Janssen!$S71</f>
        <v>181286.44628957912</v>
      </c>
      <c r="G71" s="26">
        <v>0</v>
      </c>
      <c r="H71" s="26">
        <f>Kroger!P71</f>
        <v>50234.777138191625</v>
      </c>
      <c r="I71" s="26">
        <v>0</v>
      </c>
      <c r="J71" s="26">
        <v>0</v>
      </c>
      <c r="K71" s="26">
        <f>Masters!C71</f>
        <v>243.63</v>
      </c>
      <c r="L71" s="62">
        <v>0</v>
      </c>
      <c r="M71" s="26">
        <v>0</v>
      </c>
      <c r="N71" s="26">
        <v>0</v>
      </c>
      <c r="O71" s="26">
        <f>Teva!$S71</f>
        <v>132658.7152411096</v>
      </c>
      <c r="P71" s="26"/>
      <c r="Q71" s="26">
        <f>'Walgreens National'!U71</f>
        <v>189888.31181142593</v>
      </c>
      <c r="R71" s="26">
        <f>Walmart!$H71</f>
        <v>108030.62</v>
      </c>
      <c r="S71" s="61">
        <f t="shared" si="1"/>
        <v>1703796.6749349628</v>
      </c>
    </row>
    <row r="72" spans="1:19" x14ac:dyDescent="0.35">
      <c r="A72" s="3" t="s">
        <v>99</v>
      </c>
      <c r="B72" s="14" t="s">
        <v>100</v>
      </c>
      <c r="C72" s="26">
        <f>Allergan!$M72</f>
        <v>439.26</v>
      </c>
      <c r="D72" s="26">
        <f>CVS!$P72</f>
        <v>847.51</v>
      </c>
      <c r="E72" s="26">
        <f>Distributors!$Z72</f>
        <v>3679.1</v>
      </c>
      <c r="F72" s="26">
        <f>Janssen!$S72</f>
        <v>972.12</v>
      </c>
      <c r="G72" s="26">
        <v>0</v>
      </c>
      <c r="H72" s="26">
        <f>Kroger!P72</f>
        <v>497.34179998024814</v>
      </c>
      <c r="I72" s="26">
        <v>0</v>
      </c>
      <c r="J72" s="26">
        <v>0</v>
      </c>
      <c r="K72" s="26">
        <f>Masters!C72</f>
        <v>0</v>
      </c>
      <c r="L72" s="62">
        <v>0</v>
      </c>
      <c r="M72" s="26">
        <v>0</v>
      </c>
      <c r="N72" s="26">
        <v>0</v>
      </c>
      <c r="O72" s="26">
        <f>Teva!$S72</f>
        <v>705.25543722838324</v>
      </c>
      <c r="P72" s="26"/>
      <c r="Q72" s="26">
        <f>'Walgreens National'!U72</f>
        <v>1951.7657568948023</v>
      </c>
      <c r="R72" s="26">
        <f>Walmart!$H72</f>
        <v>570.63</v>
      </c>
      <c r="S72" s="61">
        <f t="shared" si="1"/>
        <v>9662.9829941034313</v>
      </c>
    </row>
    <row r="73" spans="1:19" x14ac:dyDescent="0.35">
      <c r="A73" s="3" t="s">
        <v>14</v>
      </c>
      <c r="B73" s="14" t="s">
        <v>101</v>
      </c>
      <c r="C73" s="26">
        <f>Allergan!$M73</f>
        <v>6071.7869962706382</v>
      </c>
      <c r="D73" s="26">
        <f>CVS!$P73</f>
        <v>13068.157247252697</v>
      </c>
      <c r="E73" s="26">
        <f>Distributors!$Z73</f>
        <v>55192.736553268449</v>
      </c>
      <c r="F73" s="26">
        <f>Janssen!$S73</f>
        <v>12973.782894873626</v>
      </c>
      <c r="G73" s="26">
        <v>0</v>
      </c>
      <c r="H73" s="26">
        <f>Kroger!P73</f>
        <v>7040.8604679665013</v>
      </c>
      <c r="I73" s="26">
        <v>0</v>
      </c>
      <c r="J73" s="26">
        <v>0</v>
      </c>
      <c r="K73" s="26">
        <f>Masters!C73</f>
        <v>0</v>
      </c>
      <c r="L73" s="62">
        <v>0</v>
      </c>
      <c r="M73" s="26">
        <v>0</v>
      </c>
      <c r="N73" s="26">
        <v>0</v>
      </c>
      <c r="O73" s="26">
        <f>Teva!$S73</f>
        <v>9919.9494682107725</v>
      </c>
      <c r="P73" s="26"/>
      <c r="Q73" s="26">
        <f>'Walgreens National'!U73</f>
        <v>14199.464153741606</v>
      </c>
      <c r="R73" s="26">
        <f>Walmart!$H73</f>
        <v>8078.3099999999995</v>
      </c>
      <c r="S73" s="61">
        <f t="shared" si="1"/>
        <v>126545.04778158429</v>
      </c>
    </row>
    <row r="74" spans="1:19" x14ac:dyDescent="0.35">
      <c r="A74" s="3" t="s">
        <v>102</v>
      </c>
      <c r="B74" s="14" t="s">
        <v>103</v>
      </c>
      <c r="C74" s="26">
        <f>Allergan!$M74</f>
        <v>56478.751328610437</v>
      </c>
      <c r="D74" s="26">
        <f>CVS!$P74</f>
        <v>121557.91228547505</v>
      </c>
      <c r="E74" s="26">
        <f>Distributors!$Z74</f>
        <v>546370.16905706155</v>
      </c>
      <c r="F74" s="26">
        <f>Janssen!$S74</f>
        <v>126097.86024245761</v>
      </c>
      <c r="G74" s="26">
        <v>0</v>
      </c>
      <c r="H74" s="26">
        <f>Kroger!P74</f>
        <v>34941.927094765415</v>
      </c>
      <c r="I74" s="26">
        <v>0</v>
      </c>
      <c r="J74" s="26">
        <v>0</v>
      </c>
      <c r="K74" s="26">
        <f>Masters!C74</f>
        <v>0</v>
      </c>
      <c r="L74" s="62">
        <v>0</v>
      </c>
      <c r="M74" s="26">
        <v>0</v>
      </c>
      <c r="N74" s="26">
        <v>0</v>
      </c>
      <c r="O74" s="26">
        <f>Teva!$S74</f>
        <v>92273.748977102252</v>
      </c>
      <c r="P74" s="26"/>
      <c r="Q74" s="26">
        <f>'Walgreens National'!U74</f>
        <v>132081.0763865172</v>
      </c>
      <c r="R74" s="26">
        <f>Walmart!$H74</f>
        <v>75143.13</v>
      </c>
      <c r="S74" s="61">
        <f t="shared" si="1"/>
        <v>1184944.5753719895</v>
      </c>
    </row>
    <row r="75" spans="1:19" x14ac:dyDescent="0.35">
      <c r="A75" s="3" t="s">
        <v>75</v>
      </c>
      <c r="B75" s="14" t="s">
        <v>104</v>
      </c>
      <c r="C75" s="26">
        <f>Allergan!$M75</f>
        <v>49113.598627594845</v>
      </c>
      <c r="D75" s="26">
        <f>CVS!$P75</f>
        <v>105706.05164217649</v>
      </c>
      <c r="E75" s="26">
        <f>Distributors!$Z75</f>
        <v>446444.15762912633</v>
      </c>
      <c r="F75" s="26">
        <f>Janssen!$S75</f>
        <v>104942.72364431671</v>
      </c>
      <c r="G75" s="26">
        <v>0</v>
      </c>
      <c r="H75" s="26">
        <f>Kroger!P75</f>
        <v>56952.258414123164</v>
      </c>
      <c r="I75" s="26">
        <v>0</v>
      </c>
      <c r="J75" s="26">
        <v>0</v>
      </c>
      <c r="K75" s="26">
        <f>Masters!C75</f>
        <v>0</v>
      </c>
      <c r="L75" s="62">
        <v>0</v>
      </c>
      <c r="M75" s="26">
        <v>0</v>
      </c>
      <c r="N75" s="26">
        <v>0</v>
      </c>
      <c r="O75" s="26">
        <f>Teva!$S75</f>
        <v>80240.710348390625</v>
      </c>
      <c r="P75" s="26"/>
      <c r="Q75" s="26">
        <f>'Walgreens National'!U75</f>
        <v>114856.93667161663</v>
      </c>
      <c r="R75" s="26">
        <f>Walmart!$H75</f>
        <v>65344.020000000004</v>
      </c>
      <c r="S75" s="61">
        <f t="shared" si="1"/>
        <v>1023600.4569773448</v>
      </c>
    </row>
    <row r="76" spans="1:19" x14ac:dyDescent="0.35">
      <c r="A76" s="3" t="s">
        <v>92</v>
      </c>
      <c r="B76" s="14" t="s">
        <v>92</v>
      </c>
      <c r="C76" s="26">
        <f>Allergan!$M76</f>
        <v>294004.67478360352</v>
      </c>
      <c r="D76" s="26">
        <f>CVS!$P76</f>
        <v>632779.42437218409</v>
      </c>
      <c r="E76" s="26">
        <f>Distributors!$Z76</f>
        <v>2844173.4543962916</v>
      </c>
      <c r="F76" s="26">
        <f>Janssen!$S76</f>
        <v>656412.46524328133</v>
      </c>
      <c r="G76" s="26">
        <v>0</v>
      </c>
      <c r="H76" s="26">
        <f>Kroger!P76</f>
        <v>181892.98817139069</v>
      </c>
      <c r="I76" s="26">
        <v>0</v>
      </c>
      <c r="J76" s="26">
        <v>0</v>
      </c>
      <c r="K76" s="26">
        <f>Masters!C76</f>
        <v>0</v>
      </c>
      <c r="L76" s="62">
        <v>0</v>
      </c>
      <c r="M76" s="26">
        <f>Meijer!D8</f>
        <v>1556250</v>
      </c>
      <c r="N76" s="26">
        <v>0</v>
      </c>
      <c r="O76" s="26">
        <f>Teva!$S76</f>
        <v>480338.36451793468</v>
      </c>
      <c r="P76" s="26"/>
      <c r="Q76" s="26">
        <f>'Walgreens National'!U76</f>
        <v>687558.58070660965</v>
      </c>
      <c r="R76" s="26">
        <f>Walmart!$H76</f>
        <v>391163.52</v>
      </c>
      <c r="S76" s="61">
        <f t="shared" si="1"/>
        <v>7724573.4721912947</v>
      </c>
    </row>
    <row r="77" spans="1:19" x14ac:dyDescent="0.35">
      <c r="A77" s="3" t="s">
        <v>105</v>
      </c>
      <c r="B77" s="14" t="s">
        <v>106</v>
      </c>
      <c r="C77" s="26">
        <f>Allergan!$M77</f>
        <v>1775.51</v>
      </c>
      <c r="D77" s="26">
        <f>CVS!$P77</f>
        <v>7411.29</v>
      </c>
      <c r="E77" s="26">
        <f>Distributors!$Z77</f>
        <v>15758.520543997101</v>
      </c>
      <c r="F77" s="26">
        <f>Janssen!$S77</f>
        <v>3704.2558298587783</v>
      </c>
      <c r="G77" s="26">
        <v>0</v>
      </c>
      <c r="H77" s="26">
        <f>Kroger!P77</f>
        <v>2010.2920128954431</v>
      </c>
      <c r="I77" s="26">
        <v>0</v>
      </c>
      <c r="J77" s="26">
        <v>0</v>
      </c>
      <c r="K77" s="26">
        <f>Masters!C77</f>
        <v>0</v>
      </c>
      <c r="L77" s="62">
        <v>0</v>
      </c>
      <c r="M77" s="26">
        <v>0</v>
      </c>
      <c r="N77" s="26">
        <v>0</v>
      </c>
      <c r="O77" s="26">
        <f>Teva!$S77</f>
        <v>2850.6941756506471</v>
      </c>
      <c r="P77" s="26"/>
      <c r="Q77" s="26">
        <f>'Walgreens National'!U77</f>
        <v>7889.187090252195</v>
      </c>
      <c r="R77" s="26">
        <f>Walmart!$H77</f>
        <v>2306.5</v>
      </c>
      <c r="S77" s="61">
        <f t="shared" si="1"/>
        <v>43706.249652654165</v>
      </c>
    </row>
    <row r="78" spans="1:19" x14ac:dyDescent="0.35">
      <c r="A78" s="3" t="s">
        <v>107</v>
      </c>
      <c r="B78" s="14" t="s">
        <v>107</v>
      </c>
      <c r="C78" s="26">
        <f>Allergan!$M78</f>
        <v>53096.16932851739</v>
      </c>
      <c r="D78" s="26">
        <f>CVS!$P78</f>
        <v>114277.66692721129</v>
      </c>
      <c r="E78" s="26">
        <f>Distributors!$Z78</f>
        <v>482645.94236993854</v>
      </c>
      <c r="F78" s="26">
        <f>Janssen!$S78</f>
        <v>113452.43143683401</v>
      </c>
      <c r="G78" s="26">
        <v>0</v>
      </c>
      <c r="H78" s="26">
        <f>Kroger!P78</f>
        <v>61570.468500466988</v>
      </c>
      <c r="I78" s="26">
        <v>0</v>
      </c>
      <c r="J78" s="26">
        <v>0</v>
      </c>
      <c r="K78" s="26">
        <f>Masters!C78</f>
        <v>0</v>
      </c>
      <c r="L78" s="62">
        <v>0</v>
      </c>
      <c r="M78" s="26">
        <v>0</v>
      </c>
      <c r="N78" s="26">
        <v>0</v>
      </c>
      <c r="O78" s="26">
        <f>Teva!$S78</f>
        <v>86747.361857825788</v>
      </c>
      <c r="P78" s="26"/>
      <c r="Q78" s="26">
        <f>'Walgreens National'!U78</f>
        <v>124170.57650920903</v>
      </c>
      <c r="R78" s="26">
        <f>Walmart!$H78</f>
        <v>70642.709999999992</v>
      </c>
      <c r="S78" s="61">
        <f t="shared" si="1"/>
        <v>1106603.326930003</v>
      </c>
    </row>
    <row r="79" spans="1:19" x14ac:dyDescent="0.35">
      <c r="A79" s="3" t="s">
        <v>42</v>
      </c>
      <c r="B79" s="14" t="s">
        <v>108</v>
      </c>
      <c r="C79" s="26">
        <f>Allergan!$M79</f>
        <v>2440.9</v>
      </c>
      <c r="D79" s="26">
        <f>CVS!$P79</f>
        <v>739.88</v>
      </c>
      <c r="E79" s="26">
        <f>Distributors!$Z79</f>
        <v>21664.195018165705</v>
      </c>
      <c r="F79" s="26">
        <f>Janssen!$S79</f>
        <v>5092.4581577346735</v>
      </c>
      <c r="G79" s="26">
        <v>0</v>
      </c>
      <c r="H79" s="26">
        <f>Kroger!P79</f>
        <v>2763.6714316487619</v>
      </c>
      <c r="I79" s="26">
        <v>0</v>
      </c>
      <c r="J79" s="26">
        <v>0</v>
      </c>
      <c r="K79" s="26">
        <f>Masters!C79</f>
        <v>0</v>
      </c>
      <c r="L79" s="62">
        <v>0</v>
      </c>
      <c r="M79" s="26">
        <v>0</v>
      </c>
      <c r="N79" s="26">
        <v>0</v>
      </c>
      <c r="O79" s="26">
        <f>Teva!$S79</f>
        <v>3919.0237055490766</v>
      </c>
      <c r="P79" s="26"/>
      <c r="Q79" s="26">
        <f>'Walgreens National'!U79</f>
        <v>10845.747799438024</v>
      </c>
      <c r="R79" s="26">
        <f>Walmart!$H79</f>
        <v>3170.8900000000003</v>
      </c>
      <c r="S79" s="61">
        <f t="shared" si="1"/>
        <v>50636.766112536243</v>
      </c>
    </row>
    <row r="80" spans="1:19" x14ac:dyDescent="0.35">
      <c r="A80" s="3" t="s">
        <v>94</v>
      </c>
      <c r="B80" s="14" t="s">
        <v>109</v>
      </c>
      <c r="C80" s="26">
        <f>Allergan!$M80</f>
        <v>5300.6868792822206</v>
      </c>
      <c r="D80" s="26">
        <f>CVS!$P80</f>
        <v>11408.551036364899</v>
      </c>
      <c r="E80" s="26">
        <f>Distributors!$Z80</f>
        <v>53109.758714793308</v>
      </c>
      <c r="F80" s="26">
        <f>Janssen!$S80</f>
        <v>12257.32134668214</v>
      </c>
      <c r="G80" s="26">
        <v>0</v>
      </c>
      <c r="H80" s="26">
        <f>Kroger!P80</f>
        <v>3279.3992891175258</v>
      </c>
      <c r="I80" s="26">
        <v>0</v>
      </c>
      <c r="J80" s="26">
        <v>0</v>
      </c>
      <c r="K80" s="26">
        <f>Masters!C80</f>
        <v>109.63</v>
      </c>
      <c r="L80" s="62">
        <v>0</v>
      </c>
      <c r="M80" s="26">
        <v>0</v>
      </c>
      <c r="N80" s="26">
        <v>0</v>
      </c>
      <c r="O80" s="26">
        <f>Teva!$S80</f>
        <v>8660.1554216204204</v>
      </c>
      <c r="P80" s="26"/>
      <c r="Q80" s="26">
        <f>'Walgreens National'!U80</f>
        <v>12396.185057788631</v>
      </c>
      <c r="R80" s="26">
        <f>Walmart!$H80</f>
        <v>7052.4</v>
      </c>
      <c r="S80" s="61">
        <f t="shared" si="1"/>
        <v>113574.08774564917</v>
      </c>
    </row>
    <row r="81" spans="1:19" x14ac:dyDescent="0.35">
      <c r="A81" s="3" t="s">
        <v>34</v>
      </c>
      <c r="B81" s="14" t="s">
        <v>110</v>
      </c>
      <c r="C81" s="26">
        <f>Allergan!$M81</f>
        <v>6449.3350659074795</v>
      </c>
      <c r="D81" s="26">
        <f>CVS!$P81</f>
        <v>13880.737976278928</v>
      </c>
      <c r="E81" s="26">
        <f>Distributors!$Z81</f>
        <v>58624.623188517646</v>
      </c>
      <c r="F81" s="26">
        <f>Janssen!$S81</f>
        <v>13780.511042185621</v>
      </c>
      <c r="G81" s="26">
        <v>0</v>
      </c>
      <c r="H81" s="26">
        <f>Kroger!P81</f>
        <v>7478.6592472074717</v>
      </c>
      <c r="I81" s="26">
        <v>0</v>
      </c>
      <c r="J81" s="26">
        <v>0</v>
      </c>
      <c r="K81" s="26">
        <f>Masters!C81</f>
        <v>0</v>
      </c>
      <c r="L81" s="62">
        <v>0</v>
      </c>
      <c r="M81" s="26">
        <v>0</v>
      </c>
      <c r="N81" s="26">
        <v>0</v>
      </c>
      <c r="O81" s="26">
        <f>Teva!$S81</f>
        <v>10536.768448324683</v>
      </c>
      <c r="P81" s="26"/>
      <c r="Q81" s="26">
        <f>'Walgreens National'!U81</f>
        <v>15082.38101809052</v>
      </c>
      <c r="R81" s="26">
        <f>Walmart!$H81</f>
        <v>8580.619999999999</v>
      </c>
      <c r="S81" s="61">
        <f t="shared" si="1"/>
        <v>134413.63598651235</v>
      </c>
    </row>
    <row r="82" spans="1:19" x14ac:dyDescent="0.35">
      <c r="A82" s="3" t="s">
        <v>34</v>
      </c>
      <c r="B82" s="14" t="s">
        <v>111</v>
      </c>
      <c r="C82" s="26">
        <f>Allergan!$M82</f>
        <v>69529.495673132245</v>
      </c>
      <c r="D82" s="26">
        <f>CVS!$P82</f>
        <v>104063.63618872475</v>
      </c>
      <c r="E82" s="26">
        <f>Distributors!$Z82</f>
        <v>439507.53672994493</v>
      </c>
      <c r="F82" s="26">
        <f>Janssen!$S82</f>
        <v>103312.1775911018</v>
      </c>
      <c r="G82" s="26">
        <v>0</v>
      </c>
      <c r="H82" s="26">
        <f>Kroger!P82</f>
        <v>56067.361648916441</v>
      </c>
      <c r="I82" s="26">
        <v>0</v>
      </c>
      <c r="J82" s="26">
        <v>0</v>
      </c>
      <c r="K82" s="26">
        <f>Masters!C82</f>
        <v>0</v>
      </c>
      <c r="L82" s="62">
        <v>0</v>
      </c>
      <c r="M82" s="26">
        <v>0</v>
      </c>
      <c r="N82" s="26">
        <v>0</v>
      </c>
      <c r="O82" s="26">
        <f>Teva!$S82</f>
        <v>78993.968214858702</v>
      </c>
      <c r="P82" s="26"/>
      <c r="Q82" s="26">
        <f>'Walgreens National'!U82</f>
        <v>113072.33129933903</v>
      </c>
      <c r="R82" s="26">
        <f>Walmart!$H82</f>
        <v>64328.740000000005</v>
      </c>
      <c r="S82" s="61">
        <f t="shared" si="1"/>
        <v>1028875.247346018</v>
      </c>
    </row>
    <row r="83" spans="1:19" x14ac:dyDescent="0.35">
      <c r="A83" s="3" t="s">
        <v>63</v>
      </c>
      <c r="B83" s="14" t="s">
        <v>112</v>
      </c>
      <c r="C83" s="26">
        <f>Allergan!$M83</f>
        <v>555.62</v>
      </c>
      <c r="D83" s="26">
        <f>CVS!$P83</f>
        <v>1960.29</v>
      </c>
      <c r="E83" s="26">
        <f>Distributors!$Z83</f>
        <v>4653.75</v>
      </c>
      <c r="F83" s="26">
        <f>Janssen!$S83</f>
        <v>1229.6499999999999</v>
      </c>
      <c r="G83" s="26">
        <v>0</v>
      </c>
      <c r="H83" s="26">
        <f>Kroger!P83</f>
        <v>629.09641861105092</v>
      </c>
      <c r="I83" s="26">
        <v>0</v>
      </c>
      <c r="J83" s="26">
        <v>0</v>
      </c>
      <c r="K83" s="26">
        <f>Masters!C83</f>
        <v>0</v>
      </c>
      <c r="L83" s="62">
        <v>0</v>
      </c>
      <c r="M83" s="26">
        <v>0</v>
      </c>
      <c r="N83" s="26">
        <v>0</v>
      </c>
      <c r="O83" s="26">
        <f>Teva!$S83</f>
        <v>892.09004709430667</v>
      </c>
      <c r="P83" s="26"/>
      <c r="Q83" s="26">
        <f>'Walgreens National'!U83</f>
        <v>2468.8258022035366</v>
      </c>
      <c r="R83" s="26">
        <f>Walmart!$H83</f>
        <v>721.8</v>
      </c>
      <c r="S83" s="61">
        <f t="shared" si="1"/>
        <v>13111.122267908893</v>
      </c>
    </row>
    <row r="84" spans="1:19" x14ac:dyDescent="0.35">
      <c r="A84" s="3" t="s">
        <v>113</v>
      </c>
      <c r="B84" s="14" t="s">
        <v>114</v>
      </c>
      <c r="C84" s="26">
        <f>Allergan!$M84</f>
        <v>14043.967779696228</v>
      </c>
      <c r="D84" s="26">
        <f>CVS!$P84</f>
        <v>30226.495414713492</v>
      </c>
      <c r="E84" s="26">
        <f>Distributors!$Z84</f>
        <v>127660.08290543567</v>
      </c>
      <c r="F84" s="26">
        <f>Janssen!$S84</f>
        <v>30008.235457902931</v>
      </c>
      <c r="G84" s="26">
        <v>0</v>
      </c>
      <c r="H84" s="26">
        <f>Kroger!P84</f>
        <v>16285.416901242455</v>
      </c>
      <c r="I84" s="26">
        <v>0</v>
      </c>
      <c r="J84" s="26">
        <v>0</v>
      </c>
      <c r="K84" s="26">
        <f>Masters!C84</f>
        <v>0</v>
      </c>
      <c r="L84" s="62">
        <v>0</v>
      </c>
      <c r="M84" s="26">
        <v>0</v>
      </c>
      <c r="N84" s="26">
        <v>0</v>
      </c>
      <c r="O84" s="26">
        <f>Teva!$S84</f>
        <v>22944.715425427647</v>
      </c>
      <c r="P84" s="26"/>
      <c r="Q84" s="26">
        <f>'Walgreens National'!U84</f>
        <v>32843.180539450732</v>
      </c>
      <c r="R84" s="26">
        <f>Walmart!$H84</f>
        <v>18685.03</v>
      </c>
      <c r="S84" s="61">
        <f t="shared" si="1"/>
        <v>292697.12442386919</v>
      </c>
    </row>
    <row r="85" spans="1:19" x14ac:dyDescent="0.35">
      <c r="A85" s="3" t="s">
        <v>34</v>
      </c>
      <c r="B85" s="14" t="s">
        <v>115</v>
      </c>
      <c r="C85" s="26">
        <f>Allergan!$M85</f>
        <v>26094.304996266041</v>
      </c>
      <c r="D85" s="26">
        <f>CVS!$P85</f>
        <v>56162.161397979849</v>
      </c>
      <c r="E85" s="26">
        <f>Distributors!$Z85</f>
        <v>237198.05857505352</v>
      </c>
      <c r="F85" s="26">
        <f>Janssen!$S85</f>
        <v>55756.595652246913</v>
      </c>
      <c r="G85" s="26">
        <v>0</v>
      </c>
      <c r="H85" s="26">
        <f>Kroger!P85</f>
        <v>30259.024203451005</v>
      </c>
      <c r="I85" s="26">
        <v>0</v>
      </c>
      <c r="J85" s="26">
        <v>0</v>
      </c>
      <c r="K85" s="26">
        <f>Masters!C85</f>
        <v>0</v>
      </c>
      <c r="L85" s="62">
        <v>0</v>
      </c>
      <c r="M85" s="26">
        <v>0</v>
      </c>
      <c r="N85" s="26">
        <v>0</v>
      </c>
      <c r="O85" s="26">
        <f>Teva!$S85</f>
        <v>42632.302301227937</v>
      </c>
      <c r="P85" s="26"/>
      <c r="Q85" s="26">
        <f>'Walgreens National'!U85</f>
        <v>61024.072424862919</v>
      </c>
      <c r="R85" s="26">
        <f>Walmart!$H85</f>
        <v>34717.61</v>
      </c>
      <c r="S85" s="61">
        <f t="shared" si="1"/>
        <v>543844.1295510882</v>
      </c>
    </row>
    <row r="86" spans="1:19" x14ac:dyDescent="0.35">
      <c r="A86" s="3" t="s">
        <v>116</v>
      </c>
      <c r="B86" s="14" t="s">
        <v>117</v>
      </c>
      <c r="C86" s="26">
        <f>Allergan!$M86</f>
        <v>5030.1515998117911</v>
      </c>
      <c r="D86" s="26">
        <f>CVS!$P86</f>
        <v>10826.288956650174</v>
      </c>
      <c r="E86" s="26">
        <f>Distributors!$Z86</f>
        <v>45724.294851325103</v>
      </c>
      <c r="F86" s="26">
        <f>Janssen!$S86</f>
        <v>10748.11568543867</v>
      </c>
      <c r="G86" s="26">
        <v>0</v>
      </c>
      <c r="H86" s="26">
        <f>Kroger!P86</f>
        <v>5832.9837585984906</v>
      </c>
      <c r="I86" s="26">
        <v>0</v>
      </c>
      <c r="J86" s="26">
        <v>0</v>
      </c>
      <c r="K86" s="26">
        <f>Masters!C86</f>
        <v>0</v>
      </c>
      <c r="L86" s="62">
        <v>0</v>
      </c>
      <c r="M86" s="26">
        <v>0</v>
      </c>
      <c r="N86" s="26">
        <v>0</v>
      </c>
      <c r="O86" s="26">
        <f>Teva!$S86</f>
        <v>8218.1614032648286</v>
      </c>
      <c r="P86" s="26"/>
      <c r="Q86" s="26">
        <f>'Walgreens National'!U86</f>
        <v>11763.50944275266</v>
      </c>
      <c r="R86" s="26">
        <f>Walmart!$H86</f>
        <v>6692.4500000000007</v>
      </c>
      <c r="S86" s="61">
        <f t="shared" si="1"/>
        <v>104835.95569784172</v>
      </c>
    </row>
    <row r="87" spans="1:19" x14ac:dyDescent="0.35">
      <c r="A87" s="3" t="s">
        <v>63</v>
      </c>
      <c r="B87" s="14" t="s">
        <v>118</v>
      </c>
      <c r="C87" s="26">
        <f>Allergan!$M87</f>
        <v>10575.908858934894</v>
      </c>
      <c r="D87" s="26">
        <f>CVS!$P87</f>
        <v>16118.549027794523</v>
      </c>
      <c r="E87" s="26">
        <f>Distributors!$Z87</f>
        <v>68075.885617086518</v>
      </c>
      <c r="F87" s="26">
        <f>Janssen!$S87</f>
        <v>16002.170698626576</v>
      </c>
      <c r="G87" s="26">
        <v>0</v>
      </c>
      <c r="H87" s="26">
        <f>Kroger!P87</f>
        <v>8684.3469411717942</v>
      </c>
      <c r="I87" s="26">
        <v>0</v>
      </c>
      <c r="J87" s="26">
        <v>0</v>
      </c>
      <c r="K87" s="26">
        <f>Masters!C87</f>
        <v>0</v>
      </c>
      <c r="L87" s="62">
        <v>0</v>
      </c>
      <c r="M87" s="26">
        <v>0</v>
      </c>
      <c r="N87" s="26">
        <v>0</v>
      </c>
      <c r="O87" s="26">
        <f>Teva!$S87</f>
        <v>12235.483090236394</v>
      </c>
      <c r="P87" s="26"/>
      <c r="Q87" s="26">
        <f>'Walgreens National'!U87</f>
        <v>17513.92125619905</v>
      </c>
      <c r="R87" s="26">
        <f>Walmart!$H87</f>
        <v>9963.9599999999991</v>
      </c>
      <c r="S87" s="61">
        <f t="shared" si="1"/>
        <v>159170.22549004975</v>
      </c>
    </row>
    <row r="88" spans="1:19" x14ac:dyDescent="0.35">
      <c r="A88" s="3" t="s">
        <v>63</v>
      </c>
      <c r="B88" s="14" t="s">
        <v>119</v>
      </c>
      <c r="C88" s="26">
        <f>Allergan!$M88</f>
        <v>907592.69906719285</v>
      </c>
      <c r="D88" s="26">
        <f>CVS!$P88</f>
        <v>1862224.4787143881</v>
      </c>
      <c r="E88" s="26">
        <f>Distributors!$Z88</f>
        <v>8071262.9131524162</v>
      </c>
      <c r="F88" s="26">
        <f>Janssen!$S88</f>
        <v>1862782.8708102147</v>
      </c>
      <c r="G88" s="26">
        <v>0</v>
      </c>
      <c r="H88" s="26">
        <f>Kroger!P88</f>
        <v>535298.02390932944</v>
      </c>
      <c r="I88" s="26">
        <v>0</v>
      </c>
      <c r="J88" s="26">
        <v>0</v>
      </c>
      <c r="K88" s="26">
        <f>Masters!C88</f>
        <v>0</v>
      </c>
      <c r="L88" s="62">
        <v>0</v>
      </c>
      <c r="M88" s="26">
        <v>0</v>
      </c>
      <c r="N88" s="26">
        <v>0</v>
      </c>
      <c r="O88" s="26">
        <f>Teva!$S88</f>
        <v>1413601.3732526996</v>
      </c>
      <c r="P88" s="26"/>
      <c r="Q88" s="26">
        <f>'Walgreens National'!U88</f>
        <v>2023435.6203124456</v>
      </c>
      <c r="R88" s="26">
        <f>Walmart!$H88</f>
        <v>1151166.19</v>
      </c>
      <c r="S88" s="61">
        <f t="shared" si="1"/>
        <v>17827364.169218685</v>
      </c>
    </row>
    <row r="89" spans="1:19" x14ac:dyDescent="0.35">
      <c r="A89" s="3" t="s">
        <v>63</v>
      </c>
      <c r="B89" s="14" t="s">
        <v>120</v>
      </c>
      <c r="C89" s="26">
        <f>Allergan!$M89</f>
        <v>1122.56</v>
      </c>
      <c r="D89" s="26">
        <f>CVS!$P89</f>
        <v>385.91</v>
      </c>
      <c r="E89" s="26">
        <f>Distributors!$Z89</f>
        <v>9963.2908776053537</v>
      </c>
      <c r="F89" s="26">
        <f>Janssen!$S89</f>
        <v>2342.0034318831699</v>
      </c>
      <c r="G89" s="26">
        <v>0</v>
      </c>
      <c r="H89" s="26">
        <f>Kroger!P89</f>
        <v>1271.0022883890254</v>
      </c>
      <c r="I89" s="26">
        <v>0</v>
      </c>
      <c r="J89" s="26">
        <v>0</v>
      </c>
      <c r="K89" s="26">
        <f>Masters!C89</f>
        <v>0</v>
      </c>
      <c r="L89" s="62">
        <v>0</v>
      </c>
      <c r="M89" s="26">
        <v>0</v>
      </c>
      <c r="N89" s="26">
        <v>0</v>
      </c>
      <c r="O89" s="26">
        <f>Teva!$S89</f>
        <v>1802.3445337827573</v>
      </c>
      <c r="P89" s="26"/>
      <c r="Q89" s="26">
        <f>'Walgreens National'!U89</f>
        <v>4987.9164239478414</v>
      </c>
      <c r="R89" s="26">
        <f>Walmart!$H89</f>
        <v>1458.2800000000002</v>
      </c>
      <c r="S89" s="61">
        <f t="shared" si="1"/>
        <v>23333.307555608146</v>
      </c>
    </row>
    <row r="90" spans="1:19" x14ac:dyDescent="0.35">
      <c r="A90" s="3" t="s">
        <v>121</v>
      </c>
      <c r="B90" s="14" t="s">
        <v>122</v>
      </c>
      <c r="C90" s="26">
        <f>Allergan!$M90</f>
        <v>2764.7235960905623</v>
      </c>
      <c r="D90" s="26">
        <f>CVS!$P90</f>
        <v>5950.4535415498221</v>
      </c>
      <c r="E90" s="26">
        <f>Distributors!$Z90</f>
        <v>25131.416415715972</v>
      </c>
      <c r="F90" s="26">
        <f>Janssen!$S90</f>
        <v>5907.4753950924287</v>
      </c>
      <c r="G90" s="26">
        <v>0</v>
      </c>
      <c r="H90" s="26">
        <f>Kroger!P90</f>
        <v>3205.9780576190315</v>
      </c>
      <c r="I90" s="26">
        <v>0</v>
      </c>
      <c r="J90" s="26">
        <v>0</v>
      </c>
      <c r="K90" s="26">
        <f>Masters!C90</f>
        <v>0</v>
      </c>
      <c r="L90" s="62">
        <v>0</v>
      </c>
      <c r="M90" s="26">
        <v>0</v>
      </c>
      <c r="N90" s="26">
        <v>0</v>
      </c>
      <c r="O90" s="26">
        <f>Teva!$S90</f>
        <v>4516.93886660714</v>
      </c>
      <c r="P90" s="26"/>
      <c r="Q90" s="26">
        <f>'Walgreens National'!U90</f>
        <v>5747.6863438922655</v>
      </c>
      <c r="R90" s="26">
        <f>Walmart!$H90</f>
        <v>3678.37</v>
      </c>
      <c r="S90" s="61">
        <f t="shared" si="1"/>
        <v>56903.042216567228</v>
      </c>
    </row>
    <row r="91" spans="1:19" x14ac:dyDescent="0.35">
      <c r="A91" s="3" t="s">
        <v>75</v>
      </c>
      <c r="B91" s="14" t="s">
        <v>123</v>
      </c>
      <c r="C91" s="26">
        <f>Allergan!$M91</f>
        <v>23452.327282218113</v>
      </c>
      <c r="D91" s="26">
        <f>CVS!$P91</f>
        <v>50475.904159535523</v>
      </c>
      <c r="E91" s="26">
        <f>Distributors!$Z91</f>
        <v>213182.41418202402</v>
      </c>
      <c r="F91" s="26">
        <f>Janssen!$S91</f>
        <v>50111.400862456605</v>
      </c>
      <c r="G91" s="26">
        <v>0</v>
      </c>
      <c r="H91" s="26">
        <f>Kroger!P91</f>
        <v>27195.384191122932</v>
      </c>
      <c r="I91" s="26">
        <v>0</v>
      </c>
      <c r="J91" s="26">
        <v>0</v>
      </c>
      <c r="K91" s="26">
        <f>Masters!C91</f>
        <v>0</v>
      </c>
      <c r="L91" s="62">
        <v>0</v>
      </c>
      <c r="M91" s="26">
        <v>0</v>
      </c>
      <c r="N91" s="26">
        <v>0</v>
      </c>
      <c r="O91" s="26">
        <f>Teva!$S91</f>
        <v>38315.904010003287</v>
      </c>
      <c r="P91" s="26"/>
      <c r="Q91" s="26">
        <f>'Walgreens National'!U91</f>
        <v>54845.560122917166</v>
      </c>
      <c r="R91" s="26">
        <f>Walmart!$H91</f>
        <v>31202.55</v>
      </c>
      <c r="S91" s="61">
        <f t="shared" si="1"/>
        <v>488781.44481027761</v>
      </c>
    </row>
    <row r="92" spans="1:19" x14ac:dyDescent="0.35">
      <c r="A92" s="3" t="s">
        <v>45</v>
      </c>
      <c r="B92" s="14" t="s">
        <v>124</v>
      </c>
      <c r="C92" s="26">
        <f>Allergan!$M92</f>
        <v>14314.277402404685</v>
      </c>
      <c r="D92" s="26">
        <f>CVS!$P92</f>
        <v>30808.285828981374</v>
      </c>
      <c r="E92" s="26">
        <f>Distributors!$Z92</f>
        <v>130117.23867889454</v>
      </c>
      <c r="F92" s="26">
        <f>Janssen!$S92</f>
        <v>30585.809435974017</v>
      </c>
      <c r="G92" s="26">
        <v>0</v>
      </c>
      <c r="H92" s="26">
        <f>Kroger!P92</f>
        <v>16598.874062304512</v>
      </c>
      <c r="I92" s="26">
        <v>0</v>
      </c>
      <c r="J92" s="26">
        <v>0</v>
      </c>
      <c r="K92" s="26">
        <f>Masters!C92</f>
        <v>0</v>
      </c>
      <c r="L92" s="62">
        <v>0</v>
      </c>
      <c r="M92" s="26">
        <v>0</v>
      </c>
      <c r="N92" s="26">
        <v>0</v>
      </c>
      <c r="O92" s="26">
        <f>Teva!$S92</f>
        <v>23386.35472614348</v>
      </c>
      <c r="P92" s="26"/>
      <c r="Q92" s="26">
        <f>'Walgreens National'!U92</f>
        <v>33475.327406238852</v>
      </c>
      <c r="R92" s="26">
        <f>Walmart!$H92</f>
        <v>19044.669999999998</v>
      </c>
      <c r="S92" s="61">
        <f t="shared" si="1"/>
        <v>298330.83754094143</v>
      </c>
    </row>
    <row r="93" spans="1:19" x14ac:dyDescent="0.35">
      <c r="A93" s="3" t="s">
        <v>105</v>
      </c>
      <c r="B93" s="14" t="s">
        <v>125</v>
      </c>
      <c r="C93" s="26">
        <f>Allergan!$M93</f>
        <v>3785.3483102926675</v>
      </c>
      <c r="D93" s="26">
        <f>CVS!$P93</f>
        <v>8147.1034343115562</v>
      </c>
      <c r="E93" s="26">
        <f>Distributors!$Z93</f>
        <v>34408.851790120876</v>
      </c>
      <c r="F93" s="26">
        <f>Janssen!$S93</f>
        <v>8088.2773996037313</v>
      </c>
      <c r="G93" s="26">
        <v>0</v>
      </c>
      <c r="H93" s="26">
        <f>Kroger!P93</f>
        <v>4389.4911306466038</v>
      </c>
      <c r="I93" s="26">
        <v>0</v>
      </c>
      <c r="J93" s="26">
        <v>0</v>
      </c>
      <c r="K93" s="26">
        <f>Masters!C93</f>
        <v>0</v>
      </c>
      <c r="L93" s="62">
        <v>0</v>
      </c>
      <c r="M93" s="26">
        <v>0</v>
      </c>
      <c r="N93" s="26">
        <v>0</v>
      </c>
      <c r="O93" s="26">
        <f>Teva!$S93</f>
        <v>6184.4071706654422</v>
      </c>
      <c r="P93" s="26"/>
      <c r="Q93" s="26">
        <f>'Walgreens National'!U93</f>
        <v>8852.3918601503865</v>
      </c>
      <c r="R93" s="26">
        <f>Walmart!$H93</f>
        <v>5036.2700000000004</v>
      </c>
      <c r="S93" s="61">
        <f t="shared" si="1"/>
        <v>78892.141095791259</v>
      </c>
    </row>
    <row r="94" spans="1:19" x14ac:dyDescent="0.35">
      <c r="A94" s="3" t="s">
        <v>14</v>
      </c>
      <c r="B94" s="14" t="s">
        <v>126</v>
      </c>
      <c r="C94" s="26">
        <f>Allergan!$M94</f>
        <v>2632.8866124001433</v>
      </c>
      <c r="D94" s="26">
        <f>CVS!$P94</f>
        <v>5666.6899232901078</v>
      </c>
      <c r="E94" s="26">
        <f>Distributors!$Z94</f>
        <v>23932.993937710446</v>
      </c>
      <c r="F94" s="26">
        <f>Janssen!$S94</f>
        <v>5625.7783550915719</v>
      </c>
      <c r="G94" s="26">
        <v>0</v>
      </c>
      <c r="H94" s="26">
        <f>Kroger!P94</f>
        <v>3053.1008383290437</v>
      </c>
      <c r="I94" s="26">
        <v>0</v>
      </c>
      <c r="J94" s="26">
        <v>0</v>
      </c>
      <c r="K94" s="26">
        <f>Masters!C94</f>
        <v>0</v>
      </c>
      <c r="L94" s="62">
        <v>0</v>
      </c>
      <c r="M94" s="26">
        <v>0</v>
      </c>
      <c r="N94" s="26">
        <v>0</v>
      </c>
      <c r="O94" s="26">
        <f>Teva!$S94</f>
        <v>4301.5521325983573</v>
      </c>
      <c r="P94" s="26"/>
      <c r="Q94" s="26">
        <f>'Walgreens National'!U94</f>
        <v>6157.2576416013808</v>
      </c>
      <c r="R94" s="26">
        <f>Walmart!$H94</f>
        <v>3502.9700000000003</v>
      </c>
      <c r="S94" s="61">
        <f t="shared" si="1"/>
        <v>54873.22944102106</v>
      </c>
    </row>
    <row r="95" spans="1:19" x14ac:dyDescent="0.35">
      <c r="A95" s="3" t="s">
        <v>22</v>
      </c>
      <c r="B95" s="14" t="s">
        <v>127</v>
      </c>
      <c r="C95" s="26">
        <f>Allergan!$M95</f>
        <v>10548.328260702889</v>
      </c>
      <c r="D95" s="26">
        <f>CVS!$P95</f>
        <v>22702.918495947997</v>
      </c>
      <c r="E95" s="26">
        <f>Distributors!$Z95</f>
        <v>95884.64091788567</v>
      </c>
      <c r="F95" s="26">
        <f>Janssen!$S95</f>
        <v>22538.987779652485</v>
      </c>
      <c r="G95" s="26">
        <v>0</v>
      </c>
      <c r="H95" s="26">
        <f>Kroger!P95</f>
        <v>12231.870040092874</v>
      </c>
      <c r="I95" s="26">
        <v>0</v>
      </c>
      <c r="J95" s="26">
        <v>0</v>
      </c>
      <c r="K95" s="26">
        <f>Masters!C95</f>
        <v>0</v>
      </c>
      <c r="L95" s="62">
        <v>0</v>
      </c>
      <c r="M95" s="26">
        <v>0</v>
      </c>
      <c r="N95" s="26">
        <v>0</v>
      </c>
      <c r="O95" s="26">
        <f>Teva!$S95</f>
        <v>17233.622654228599</v>
      </c>
      <c r="P95" s="26"/>
      <c r="Q95" s="26">
        <f>'Walgreens National'!U95</f>
        <v>24668.290496391422</v>
      </c>
      <c r="R95" s="26">
        <f>Walmart!$H95</f>
        <v>14034.2</v>
      </c>
      <c r="S95" s="61">
        <f t="shared" si="1"/>
        <v>219842.85864490195</v>
      </c>
    </row>
    <row r="96" spans="1:19" x14ac:dyDescent="0.35">
      <c r="A96" s="3" t="s">
        <v>99</v>
      </c>
      <c r="B96" s="14" t="s">
        <v>128</v>
      </c>
      <c r="C96" s="26">
        <f>Allergan!$M96</f>
        <v>0</v>
      </c>
      <c r="D96" s="26">
        <f>CVS!$P96</f>
        <v>0</v>
      </c>
      <c r="E96" s="26">
        <f>Distributors!$Z96</f>
        <v>1021.47</v>
      </c>
      <c r="F96" s="26">
        <f>Janssen!$S96</f>
        <v>269.90000000000003</v>
      </c>
      <c r="G96" s="26">
        <v>0</v>
      </c>
      <c r="H96" s="26">
        <f>Kroger!P96</f>
        <v>138.08339845062505</v>
      </c>
      <c r="I96" s="26">
        <v>0</v>
      </c>
      <c r="J96" s="26">
        <v>0</v>
      </c>
      <c r="K96" s="26">
        <f>Masters!C96</f>
        <v>0</v>
      </c>
      <c r="L96" s="62">
        <v>0</v>
      </c>
      <c r="M96" s="26">
        <v>0</v>
      </c>
      <c r="N96" s="26">
        <v>0</v>
      </c>
      <c r="O96" s="26">
        <f>Teva!$S96</f>
        <v>195.80913478847799</v>
      </c>
      <c r="P96" s="26"/>
      <c r="Q96" s="26">
        <f>'Walgreens National'!U96</f>
        <v>247.5562993036566</v>
      </c>
      <c r="R96" s="26">
        <f>Walmart!$H96</f>
        <v>0</v>
      </c>
      <c r="S96" s="61">
        <f t="shared" si="1"/>
        <v>1872.8188325427595</v>
      </c>
    </row>
    <row r="97" spans="1:19" x14ac:dyDescent="0.35">
      <c r="A97" s="3" t="s">
        <v>63</v>
      </c>
      <c r="B97" s="14" t="s">
        <v>129</v>
      </c>
      <c r="C97" s="26">
        <f>Allergan!$M97</f>
        <v>2674.1293904370232</v>
      </c>
      <c r="D97" s="26">
        <f>CVS!$P97</f>
        <v>7244.0666890462871</v>
      </c>
      <c r="E97" s="26">
        <f>Distributors!$Z97</f>
        <v>0</v>
      </c>
      <c r="F97" s="26">
        <f>Janssen!$S97</f>
        <v>0</v>
      </c>
      <c r="G97" s="26">
        <v>0</v>
      </c>
      <c r="H97" s="26">
        <f>Kroger!P97</f>
        <v>4395.9862891097173</v>
      </c>
      <c r="I97" s="26">
        <v>0</v>
      </c>
      <c r="J97" s="26">
        <v>0</v>
      </c>
      <c r="K97" s="26">
        <f>Masters!C97</f>
        <v>0</v>
      </c>
      <c r="L97" s="62">
        <v>0</v>
      </c>
      <c r="M97" s="26">
        <v>0</v>
      </c>
      <c r="N97" s="26">
        <v>0</v>
      </c>
      <c r="O97" s="26">
        <f>Teva!$S97</f>
        <v>5750.3334043250788</v>
      </c>
      <c r="P97" s="26"/>
      <c r="Q97" s="26">
        <f>'Walgreens National'!U97</f>
        <v>7881.1363982379544</v>
      </c>
      <c r="R97" s="26">
        <f>Walmart!$H97</f>
        <v>0</v>
      </c>
      <c r="S97" s="61">
        <f t="shared" si="1"/>
        <v>27945.652171156064</v>
      </c>
    </row>
    <row r="98" spans="1:19" x14ac:dyDescent="0.35">
      <c r="A98" s="3" t="s">
        <v>63</v>
      </c>
      <c r="B98" s="14" t="s">
        <v>63</v>
      </c>
      <c r="C98" s="26">
        <f>Allergan!$M98</f>
        <v>658488.09998785926</v>
      </c>
      <c r="D98" s="26">
        <f>CVS!$P98</f>
        <v>1302056.5773283704</v>
      </c>
      <c r="E98" s="26">
        <f>Distributors!$Z98</f>
        <v>6049617.8928671833</v>
      </c>
      <c r="F98" s="26">
        <f>Janssen!$S98</f>
        <v>1399518.8861520798</v>
      </c>
      <c r="G98" s="26">
        <v>0</v>
      </c>
      <c r="H98" s="26">
        <f>Kroger!P98</f>
        <v>373023.65502787498</v>
      </c>
      <c r="I98" s="26">
        <v>0</v>
      </c>
      <c r="J98" s="26">
        <f>Mallinckrodt!E12</f>
        <v>365501.08</v>
      </c>
      <c r="K98" s="26">
        <f>Masters!C98</f>
        <v>22503.34</v>
      </c>
      <c r="L98" s="62">
        <v>0</v>
      </c>
      <c r="M98" s="26">
        <v>0</v>
      </c>
      <c r="N98" s="26">
        <v>0</v>
      </c>
      <c r="O98" s="26">
        <f>Teva!$S98</f>
        <v>985514.57525478257</v>
      </c>
      <c r="P98" s="26"/>
      <c r="Q98" s="26">
        <f>'Walgreens National'!U98</f>
        <v>1414759.00289089</v>
      </c>
      <c r="R98" s="26">
        <f>Walmart!$H98</f>
        <v>807236.52</v>
      </c>
      <c r="S98" s="61">
        <f t="shared" si="1"/>
        <v>13378219.629509041</v>
      </c>
    </row>
    <row r="99" spans="1:19" x14ac:dyDescent="0.35">
      <c r="A99" s="3" t="s">
        <v>60</v>
      </c>
      <c r="B99" s="14" t="s">
        <v>130</v>
      </c>
      <c r="C99" s="26">
        <f>Allergan!$M99</f>
        <v>0</v>
      </c>
      <c r="D99" s="26">
        <f>CVS!$P99</f>
        <v>0</v>
      </c>
      <c r="E99" s="26">
        <f>Distributors!$Z99</f>
        <v>189.94</v>
      </c>
      <c r="F99" s="26">
        <f>Janssen!$S99</f>
        <v>50.19</v>
      </c>
      <c r="G99" s="26">
        <v>0</v>
      </c>
      <c r="H99" s="26">
        <f>Kroger!P99</f>
        <v>25.676221805468767</v>
      </c>
      <c r="I99" s="26">
        <v>0</v>
      </c>
      <c r="J99" s="26">
        <v>0</v>
      </c>
      <c r="K99" s="26">
        <f>Masters!C99</f>
        <v>0</v>
      </c>
      <c r="L99" s="62">
        <v>0</v>
      </c>
      <c r="M99" s="26">
        <v>0</v>
      </c>
      <c r="N99" s="26">
        <v>0</v>
      </c>
      <c r="O99" s="26">
        <f>Teva!$S99</f>
        <v>0</v>
      </c>
      <c r="P99" s="26"/>
      <c r="Q99" s="26">
        <f>'Walgreens National'!U99</f>
        <v>46.032401589062452</v>
      </c>
      <c r="R99" s="26">
        <f>Walmart!$H99</f>
        <v>0</v>
      </c>
      <c r="S99" s="61">
        <f t="shared" si="1"/>
        <v>311.83862339453117</v>
      </c>
    </row>
    <row r="100" spans="1:19" x14ac:dyDescent="0.35">
      <c r="A100" s="3" t="s">
        <v>24</v>
      </c>
      <c r="B100" s="14" t="s">
        <v>131</v>
      </c>
      <c r="C100" s="26">
        <f>Allergan!$M100</f>
        <v>2160.09</v>
      </c>
      <c r="D100" s="26">
        <f>CVS!$P100</f>
        <v>8788.91</v>
      </c>
      <c r="E100" s="26">
        <f>Distributors!$Z100</f>
        <v>19171.871109580763</v>
      </c>
      <c r="F100" s="26">
        <f>Janssen!$S100</f>
        <v>4506.6070348400326</v>
      </c>
      <c r="G100" s="26">
        <v>0</v>
      </c>
      <c r="H100" s="26">
        <f>Kroger!P100</f>
        <v>2445.7273835084425</v>
      </c>
      <c r="I100" s="26">
        <v>0</v>
      </c>
      <c r="J100" s="26">
        <v>0</v>
      </c>
      <c r="K100" s="26">
        <f>Masters!C100</f>
        <v>0</v>
      </c>
      <c r="L100" s="62">
        <v>0</v>
      </c>
      <c r="M100" s="26">
        <v>0</v>
      </c>
      <c r="N100" s="26">
        <v>0</v>
      </c>
      <c r="O100" s="26">
        <f>Teva!$S100</f>
        <v>3468.163213440293</v>
      </c>
      <c r="P100" s="26"/>
      <c r="Q100" s="26">
        <f>'Walgreens National'!U100</f>
        <v>4384.7068290650413</v>
      </c>
      <c r="R100" s="26">
        <f>Walmart!$H100</f>
        <v>2806.1000000000004</v>
      </c>
      <c r="S100" s="61">
        <f t="shared" si="1"/>
        <v>47732.175570434571</v>
      </c>
    </row>
    <row r="101" spans="1:19" x14ac:dyDescent="0.35">
      <c r="A101" s="3" t="s">
        <v>132</v>
      </c>
      <c r="B101" s="14" t="s">
        <v>132</v>
      </c>
      <c r="C101" s="26">
        <f>Allergan!$M101</f>
        <v>62965.776799624015</v>
      </c>
      <c r="D101" s="26">
        <f>CVS!$P101</f>
        <v>135519.79217934416</v>
      </c>
      <c r="E101" s="26">
        <f>Distributors!$Z101</f>
        <v>572360.983459268</v>
      </c>
      <c r="F101" s="26">
        <f>Janssen!$S101</f>
        <v>134541.15830568213</v>
      </c>
      <c r="G101" s="26">
        <v>0</v>
      </c>
      <c r="H101" s="26">
        <f>Kroger!P101</f>
        <v>73015.289927946753</v>
      </c>
      <c r="I101" s="26">
        <v>0</v>
      </c>
      <c r="J101" s="26">
        <v>0</v>
      </c>
      <c r="K101" s="26">
        <f>Masters!C101</f>
        <v>0</v>
      </c>
      <c r="L101" s="62">
        <v>0</v>
      </c>
      <c r="M101" s="26">
        <v>0</v>
      </c>
      <c r="N101" s="26">
        <v>0</v>
      </c>
      <c r="O101" s="26">
        <f>Teva!$S101</f>
        <v>102872.10629465558</v>
      </c>
      <c r="P101" s="26"/>
      <c r="Q101" s="26">
        <f>'Walgreens National'!U101</f>
        <v>147251.61407238196</v>
      </c>
      <c r="R101" s="26">
        <f>Walmart!$H101</f>
        <v>83773.89</v>
      </c>
      <c r="S101" s="61">
        <f t="shared" si="1"/>
        <v>1312300.6110389025</v>
      </c>
    </row>
    <row r="102" spans="1:19" x14ac:dyDescent="0.35">
      <c r="A102" s="3" t="s">
        <v>133</v>
      </c>
      <c r="B102" s="14" t="s">
        <v>133</v>
      </c>
      <c r="C102" s="26">
        <f>Allergan!$M102</f>
        <v>21865.697264117662</v>
      </c>
      <c r="D102" s="26">
        <f>CVS!$P102</f>
        <v>47061.026929076106</v>
      </c>
      <c r="E102" s="26">
        <f>Distributors!$Z102</f>
        <v>198759.87847945205</v>
      </c>
      <c r="F102" s="26">
        <f>Janssen!$S102</f>
        <v>46721.195068742119</v>
      </c>
      <c r="G102" s="26">
        <v>0</v>
      </c>
      <c r="H102" s="26">
        <f>Kroger!P102</f>
        <v>25355.521126980111</v>
      </c>
      <c r="I102" s="26">
        <v>0</v>
      </c>
      <c r="J102" s="26">
        <v>0</v>
      </c>
      <c r="K102" s="26">
        <f>Masters!C102</f>
        <v>0</v>
      </c>
      <c r="L102" s="62">
        <v>0</v>
      </c>
      <c r="M102" s="26">
        <v>0</v>
      </c>
      <c r="N102" s="26">
        <v>0</v>
      </c>
      <c r="O102" s="26">
        <f>Teva!$S102</f>
        <v>35723.692682627909</v>
      </c>
      <c r="P102" s="26"/>
      <c r="Q102" s="26">
        <f>'Walgreens National'!U102</f>
        <v>51135.068524163697</v>
      </c>
      <c r="R102" s="26">
        <f>Walmart!$H102</f>
        <v>29091.58</v>
      </c>
      <c r="S102" s="61">
        <f t="shared" si="1"/>
        <v>455713.66007515969</v>
      </c>
    </row>
    <row r="103" spans="1:19" x14ac:dyDescent="0.35">
      <c r="A103" s="3" t="s">
        <v>63</v>
      </c>
      <c r="B103" s="14" t="s">
        <v>134</v>
      </c>
      <c r="C103" s="26">
        <f>Allergan!$M103</f>
        <v>6144.3938145433622</v>
      </c>
      <c r="D103" s="26">
        <f>CVS!$P103</f>
        <v>13224.440738310077</v>
      </c>
      <c r="E103" s="26">
        <f>Distributors!$Z103</f>
        <v>55852.738708588317</v>
      </c>
      <c r="F103" s="26">
        <f>Janssen!$S103</f>
        <v>13128.946921852597</v>
      </c>
      <c r="G103" s="26">
        <v>0</v>
      </c>
      <c r="H103" s="26">
        <f>Kroger!P103</f>
        <v>7125.055507931238</v>
      </c>
      <c r="I103" s="26">
        <v>0</v>
      </c>
      <c r="J103" s="26">
        <v>0</v>
      </c>
      <c r="K103" s="26">
        <f>Masters!C103</f>
        <v>0</v>
      </c>
      <c r="L103" s="62">
        <v>0</v>
      </c>
      <c r="M103" s="26">
        <v>0</v>
      </c>
      <c r="N103" s="26">
        <v>0</v>
      </c>
      <c r="O103" s="26">
        <f>Teva!$S103</f>
        <v>10038.573922448511</v>
      </c>
      <c r="P103" s="26"/>
      <c r="Q103" s="26">
        <f>'Walgreens National'!U103</f>
        <v>14369.259254653545</v>
      </c>
      <c r="R103" s="26">
        <f>Walmart!$H103</f>
        <v>8174.91</v>
      </c>
      <c r="S103" s="61">
        <f t="shared" si="1"/>
        <v>128058.31886832764</v>
      </c>
    </row>
    <row r="104" spans="1:19" x14ac:dyDescent="0.35">
      <c r="A104" s="3" t="s">
        <v>24</v>
      </c>
      <c r="B104" s="14" t="s">
        <v>135</v>
      </c>
      <c r="C104" s="26">
        <f>Allergan!$M104</f>
        <v>3301.9115513646298</v>
      </c>
      <c r="D104" s="26">
        <f>CVS!$P104</f>
        <v>7106.645230751843</v>
      </c>
      <c r="E104" s="26">
        <f>Distributors!$Z104</f>
        <v>30014.531761120659</v>
      </c>
      <c r="F104" s="26">
        <f>Janssen!$S104</f>
        <v>7055.314892250678</v>
      </c>
      <c r="G104" s="26">
        <v>0</v>
      </c>
      <c r="H104" s="26">
        <f>Kroger!P104</f>
        <v>3828.9120344733951</v>
      </c>
      <c r="I104" s="26">
        <v>0</v>
      </c>
      <c r="J104" s="26">
        <v>0</v>
      </c>
      <c r="K104" s="26">
        <f>Masters!C104</f>
        <v>0</v>
      </c>
      <c r="L104" s="62">
        <v>0</v>
      </c>
      <c r="M104" s="26">
        <v>0</v>
      </c>
      <c r="N104" s="26">
        <v>0</v>
      </c>
      <c r="O104" s="26">
        <f>Teva!$S104</f>
        <v>5394.6008293324749</v>
      </c>
      <c r="P104" s="26"/>
      <c r="Q104" s="26">
        <f>'Walgreens National'!U104</f>
        <v>7721.8541034413101</v>
      </c>
      <c r="R104" s="26">
        <f>Walmart!$H104</f>
        <v>4393.09</v>
      </c>
      <c r="S104" s="61">
        <f t="shared" si="1"/>
        <v>68816.860402734994</v>
      </c>
    </row>
    <row r="105" spans="1:19" x14ac:dyDescent="0.35">
      <c r="A105" s="3" t="s">
        <v>24</v>
      </c>
      <c r="B105" s="14" t="s">
        <v>136</v>
      </c>
      <c r="C105" s="26">
        <f>Allergan!$M105</f>
        <v>10182.273660625346</v>
      </c>
      <c r="D105" s="26">
        <f>CVS!$P105</f>
        <v>21915.079611926027</v>
      </c>
      <c r="E105" s="26">
        <f>Distributors!$Z105</f>
        <v>92557.199912294629</v>
      </c>
      <c r="F105" s="26">
        <f>Janssen!$S105</f>
        <v>21756.831613159877</v>
      </c>
      <c r="G105" s="26">
        <v>0</v>
      </c>
      <c r="H105" s="26">
        <f>Kroger!P105</f>
        <v>11807.392508957661</v>
      </c>
      <c r="I105" s="26">
        <v>0</v>
      </c>
      <c r="J105" s="26">
        <v>0</v>
      </c>
      <c r="K105" s="26">
        <f>Masters!C105</f>
        <v>0</v>
      </c>
      <c r="L105" s="62">
        <v>0</v>
      </c>
      <c r="M105" s="26">
        <v>0</v>
      </c>
      <c r="N105" s="26">
        <v>0</v>
      </c>
      <c r="O105" s="26">
        <f>Teva!$S105</f>
        <v>16635.579028274598</v>
      </c>
      <c r="P105" s="26"/>
      <c r="Q105" s="26">
        <f>'Walgreens National'!U105</f>
        <v>21168.326002553156</v>
      </c>
      <c r="R105" s="26">
        <f>Walmart!$H105</f>
        <v>13547.18</v>
      </c>
      <c r="S105" s="61">
        <f t="shared" si="1"/>
        <v>209569.8623377913</v>
      </c>
    </row>
    <row r="106" spans="1:19" x14ac:dyDescent="0.35">
      <c r="A106" s="3" t="s">
        <v>14</v>
      </c>
      <c r="B106" s="14" t="s">
        <v>137</v>
      </c>
      <c r="C106" s="26">
        <f>Allergan!$M106</f>
        <v>1126.67</v>
      </c>
      <c r="D106" s="26">
        <f>CVS!$P106</f>
        <v>54934.3</v>
      </c>
      <c r="E106" s="26">
        <f>Distributors!$Z106</f>
        <v>9999.7963144823352</v>
      </c>
      <c r="F106" s="26">
        <f>Janssen!$S106</f>
        <v>2350.5973873556136</v>
      </c>
      <c r="G106" s="26">
        <v>0</v>
      </c>
      <c r="H106" s="26">
        <f>Kroger!P106</f>
        <v>1275.6590440040727</v>
      </c>
      <c r="I106" s="26">
        <v>0</v>
      </c>
      <c r="J106" s="26">
        <v>0</v>
      </c>
      <c r="K106" s="26">
        <f>Masters!C106</f>
        <v>0</v>
      </c>
      <c r="L106" s="62">
        <v>0</v>
      </c>
      <c r="M106" s="26">
        <v>0</v>
      </c>
      <c r="N106" s="26">
        <v>0</v>
      </c>
      <c r="O106" s="26">
        <f>Teva!$S106</f>
        <v>1808.9480451254328</v>
      </c>
      <c r="P106" s="26"/>
      <c r="Q106" s="26">
        <f>'Walgreens National'!U106</f>
        <v>5006.1950683160831</v>
      </c>
      <c r="R106" s="26">
        <f>Walmart!$H106</f>
        <v>1463.63</v>
      </c>
      <c r="S106" s="61">
        <f t="shared" si="1"/>
        <v>77965.795859283535</v>
      </c>
    </row>
    <row r="107" spans="1:19" x14ac:dyDescent="0.35">
      <c r="A107" s="3" t="s">
        <v>14</v>
      </c>
      <c r="B107" s="14" t="s">
        <v>138</v>
      </c>
      <c r="C107" s="26">
        <f>Allergan!$M107</f>
        <v>393562.10903629125</v>
      </c>
      <c r="D107" s="26">
        <f>CVS!$P107</f>
        <v>847054.55709781626</v>
      </c>
      <c r="E107" s="26">
        <f>Distributors!$Z107</f>
        <v>3807282.6078453707</v>
      </c>
      <c r="F107" s="26">
        <f>Janssen!$S107</f>
        <v>878690.34992877953</v>
      </c>
      <c r="G107" s="26">
        <v>0</v>
      </c>
      <c r="H107" s="26">
        <f>Kroger!P107</f>
        <v>243486.55936098273</v>
      </c>
      <c r="I107" s="26">
        <v>0</v>
      </c>
      <c r="J107" s="26">
        <v>0</v>
      </c>
      <c r="K107" s="26">
        <f>Masters!C107</f>
        <v>609.08000000000004</v>
      </c>
      <c r="L107" s="62">
        <v>0</v>
      </c>
      <c r="M107" s="26">
        <v>0</v>
      </c>
      <c r="N107" s="26">
        <v>0</v>
      </c>
      <c r="O107" s="26">
        <f>Teva!$S107</f>
        <v>642993.09644245158</v>
      </c>
      <c r="P107" s="26"/>
      <c r="Q107" s="26">
        <f>'Walgreens National'!U107</f>
        <v>920383.3300595691</v>
      </c>
      <c r="R107" s="26">
        <f>Walmart!$H107</f>
        <v>523621.39</v>
      </c>
      <c r="S107" s="61">
        <f t="shared" si="1"/>
        <v>8257683.0797712607</v>
      </c>
    </row>
    <row r="108" spans="1:19" x14ac:dyDescent="0.35">
      <c r="A108" s="3" t="s">
        <v>99</v>
      </c>
      <c r="B108" s="14" t="s">
        <v>99</v>
      </c>
      <c r="C108" s="26">
        <f>Allergan!$M108</f>
        <v>270508.17569610709</v>
      </c>
      <c r="D108" s="26">
        <f>CVS!$P108</f>
        <v>582217.23417832691</v>
      </c>
      <c r="E108" s="26">
        <f>Distributors!$Z108</f>
        <v>2709108.1876548799</v>
      </c>
      <c r="F108" s="26">
        <f>Janssen!$S108</f>
        <v>625240.46915697725</v>
      </c>
      <c r="G108" s="26">
        <v>0</v>
      </c>
      <c r="H108" s="26">
        <f>Kroger!P108</f>
        <v>167280.8630164137</v>
      </c>
      <c r="I108" s="26">
        <v>0</v>
      </c>
      <c r="J108" s="26">
        <v>0</v>
      </c>
      <c r="K108" s="26">
        <f>Masters!C108</f>
        <v>641.97</v>
      </c>
      <c r="L108" s="62">
        <v>0</v>
      </c>
      <c r="M108" s="26">
        <v>0</v>
      </c>
      <c r="N108" s="26">
        <v>0</v>
      </c>
      <c r="O108" s="26">
        <f>Teva!$S108</f>
        <v>441751.03626497486</v>
      </c>
      <c r="P108" s="26"/>
      <c r="Q108" s="26">
        <f>'Walgreens National'!U108</f>
        <v>632618.84542564536</v>
      </c>
      <c r="R108" s="26">
        <f>Walmart!$H108</f>
        <v>359898.36</v>
      </c>
      <c r="S108" s="61">
        <f t="shared" si="1"/>
        <v>5789265.1413933253</v>
      </c>
    </row>
    <row r="109" spans="1:19" x14ac:dyDescent="0.35">
      <c r="A109" s="3" t="s">
        <v>14</v>
      </c>
      <c r="B109" s="14" t="s">
        <v>139</v>
      </c>
      <c r="C109" s="26">
        <f>Allergan!$M109</f>
        <v>8140.9114127725989</v>
      </c>
      <c r="D109" s="26">
        <f>CVS!$P109</f>
        <v>17521.505473156791</v>
      </c>
      <c r="E109" s="26">
        <f>Distributors!$Z109</f>
        <v>74001.221682029005</v>
      </c>
      <c r="F109" s="26">
        <f>Janssen!$S109</f>
        <v>17394.980012229247</v>
      </c>
      <c r="G109" s="26">
        <v>0</v>
      </c>
      <c r="H109" s="26">
        <f>Kroger!P109</f>
        <v>9440.2302164761131</v>
      </c>
      <c r="I109" s="26">
        <v>0</v>
      </c>
      <c r="J109" s="26">
        <v>0</v>
      </c>
      <c r="K109" s="26">
        <f>Masters!C109</f>
        <v>0</v>
      </c>
      <c r="L109" s="62">
        <v>0</v>
      </c>
      <c r="M109" s="26">
        <v>0</v>
      </c>
      <c r="N109" s="26">
        <v>0</v>
      </c>
      <c r="O109" s="26">
        <f>Teva!$S109</f>
        <v>13300.454328760032</v>
      </c>
      <c r="P109" s="26"/>
      <c r="Q109" s="26">
        <f>'Walgreens National'!U109</f>
        <v>19038.330886346474</v>
      </c>
      <c r="R109" s="26">
        <f>Walmart!$H109</f>
        <v>10831.22</v>
      </c>
      <c r="S109" s="61">
        <f t="shared" si="1"/>
        <v>169668.85401177025</v>
      </c>
    </row>
    <row r="110" spans="1:19" x14ac:dyDescent="0.35">
      <c r="A110" s="3" t="s">
        <v>140</v>
      </c>
      <c r="B110" s="14" t="s">
        <v>140</v>
      </c>
      <c r="C110" s="26">
        <f>Allergan!$M110</f>
        <v>103224.86338498723</v>
      </c>
      <c r="D110" s="26">
        <f>CVS!$P110</f>
        <v>222168.47551667265</v>
      </c>
      <c r="E110" s="26">
        <f>Distributors!$Z110</f>
        <v>998587.57812078029</v>
      </c>
      <c r="F110" s="26">
        <f>Janssen!$S110</f>
        <v>230466.02803776521</v>
      </c>
      <c r="G110" s="26">
        <v>0</v>
      </c>
      <c r="H110" s="26">
        <f>Kroger!P110</f>
        <v>63862.518342831041</v>
      </c>
      <c r="I110" s="26">
        <v>0</v>
      </c>
      <c r="J110" s="26">
        <v>0</v>
      </c>
      <c r="K110" s="26">
        <f>Masters!C110</f>
        <v>0</v>
      </c>
      <c r="L110" s="62">
        <v>0</v>
      </c>
      <c r="M110" s="26">
        <v>0</v>
      </c>
      <c r="N110" s="26">
        <v>0</v>
      </c>
      <c r="O110" s="26">
        <f>Teva!$S110</f>
        <v>168646.50565397352</v>
      </c>
      <c r="P110" s="26"/>
      <c r="Q110" s="26">
        <f>'Walgreens National'!U110</f>
        <v>241401.40680756312</v>
      </c>
      <c r="R110" s="26">
        <f>Walmart!$H110</f>
        <v>137337.28</v>
      </c>
      <c r="S110" s="61">
        <f t="shared" si="1"/>
        <v>2165694.6558645726</v>
      </c>
    </row>
    <row r="111" spans="1:19" x14ac:dyDescent="0.35">
      <c r="A111" s="3" t="s">
        <v>60</v>
      </c>
      <c r="B111" s="14" t="s">
        <v>141</v>
      </c>
      <c r="C111" s="26">
        <f>Allergan!$M111</f>
        <v>9419.9520294305967</v>
      </c>
      <c r="D111" s="26">
        <f>CVS!$P111</f>
        <v>20274.347662316632</v>
      </c>
      <c r="E111" s="26">
        <f>Distributors!$Z111</f>
        <v>85627.666915001275</v>
      </c>
      <c r="F111" s="26">
        <f>Janssen!$S111</f>
        <v>20127.94208384183</v>
      </c>
      <c r="G111" s="26">
        <v>0</v>
      </c>
      <c r="H111" s="26">
        <f>Kroger!P111</f>
        <v>10923.402060975155</v>
      </c>
      <c r="I111" s="26">
        <v>0</v>
      </c>
      <c r="J111" s="26">
        <v>0</v>
      </c>
      <c r="K111" s="26">
        <f>Masters!C111</f>
        <v>0</v>
      </c>
      <c r="L111" s="62">
        <v>0</v>
      </c>
      <c r="M111" s="26">
        <v>0</v>
      </c>
      <c r="N111" s="26">
        <v>0</v>
      </c>
      <c r="O111" s="26">
        <f>Teva!$S111</f>
        <v>15390.112436704479</v>
      </c>
      <c r="P111" s="26"/>
      <c r="Q111" s="26">
        <f>'Walgreens National'!U111</f>
        <v>22029.475478306125</v>
      </c>
      <c r="R111" s="26">
        <f>Walmart!$H111</f>
        <v>12532.93</v>
      </c>
      <c r="S111" s="61">
        <f t="shared" si="1"/>
        <v>196325.82866657607</v>
      </c>
    </row>
    <row r="112" spans="1:19" x14ac:dyDescent="0.35">
      <c r="A112" s="3" t="s">
        <v>22</v>
      </c>
      <c r="B112" s="14" t="s">
        <v>142</v>
      </c>
      <c r="C112" s="26">
        <f>Allergan!$M112</f>
        <v>6272.927326328836</v>
      </c>
      <c r="D112" s="26">
        <f>CVS!$P112</f>
        <v>13501.063111922136</v>
      </c>
      <c r="E112" s="26">
        <f>Distributors!$Z112</f>
        <v>57021.056032854118</v>
      </c>
      <c r="F112" s="26">
        <f>Janssen!$S112</f>
        <v>13403.567778044746</v>
      </c>
      <c r="G112" s="26">
        <v>0</v>
      </c>
      <c r="H112" s="26">
        <f>Kroger!P112</f>
        <v>7274.0967458596479</v>
      </c>
      <c r="I112" s="26">
        <v>0</v>
      </c>
      <c r="J112" s="26">
        <v>0</v>
      </c>
      <c r="K112" s="26">
        <f>Masters!C112</f>
        <v>0</v>
      </c>
      <c r="L112" s="62">
        <v>0</v>
      </c>
      <c r="M112" s="26">
        <v>0</v>
      </c>
      <c r="N112" s="26">
        <v>0</v>
      </c>
      <c r="O112" s="26">
        <f>Teva!$S112</f>
        <v>10248.562858331656</v>
      </c>
      <c r="P112" s="26"/>
      <c r="Q112" s="26">
        <f>'Walgreens National'!U112</f>
        <v>14669.830798931775</v>
      </c>
      <c r="R112" s="26">
        <f>Walmart!$H112</f>
        <v>8345.91</v>
      </c>
      <c r="S112" s="61">
        <f t="shared" si="1"/>
        <v>130737.0146522729</v>
      </c>
    </row>
    <row r="113" spans="1:19" x14ac:dyDescent="0.35">
      <c r="A113" s="3" t="s">
        <v>22</v>
      </c>
      <c r="B113" s="14" t="s">
        <v>143</v>
      </c>
      <c r="C113" s="26">
        <f>Allergan!$M113</f>
        <v>8290.138488979861</v>
      </c>
      <c r="D113" s="26">
        <f>CVS!$P113</f>
        <v>17842.67099512001</v>
      </c>
      <c r="E113" s="26">
        <f>Distributors!$Z113</f>
        <v>75357.591571349141</v>
      </c>
      <c r="F113" s="26">
        <f>Janssen!$S113</f>
        <v>17713.813291124527</v>
      </c>
      <c r="G113" s="26">
        <v>0</v>
      </c>
      <c r="H113" s="26">
        <f>Kroger!P113</f>
        <v>9613.2617330114026</v>
      </c>
      <c r="I113" s="26">
        <v>0</v>
      </c>
      <c r="J113" s="26">
        <v>0</v>
      </c>
      <c r="K113" s="26">
        <f>Masters!C113</f>
        <v>0</v>
      </c>
      <c r="L113" s="62">
        <v>0</v>
      </c>
      <c r="M113" s="26">
        <v>0</v>
      </c>
      <c r="N113" s="26">
        <v>0</v>
      </c>
      <c r="O113" s="26">
        <f>Teva!$S113</f>
        <v>13544.234641057817</v>
      </c>
      <c r="P113" s="26"/>
      <c r="Q113" s="26">
        <f>'Walgreens National'!U113</f>
        <v>19387.282268576415</v>
      </c>
      <c r="R113" s="26">
        <f>Walmart!$H113</f>
        <v>11029.75</v>
      </c>
      <c r="S113" s="61">
        <f t="shared" si="1"/>
        <v>172778.74298921917</v>
      </c>
    </row>
    <row r="114" spans="1:19" x14ac:dyDescent="0.35">
      <c r="A114" s="3" t="s">
        <v>22</v>
      </c>
      <c r="B114" s="14" t="s">
        <v>144</v>
      </c>
      <c r="C114" s="26">
        <f>Allergan!$M114</f>
        <v>5907.6659231867288</v>
      </c>
      <c r="D114" s="26">
        <f>CVS!$P114</f>
        <v>12714.939896842725</v>
      </c>
      <c r="E114" s="26">
        <f>Distributors!$Z114</f>
        <v>53700.870165687731</v>
      </c>
      <c r="F114" s="26">
        <f>Janssen!$S114</f>
        <v>12623.119259653991</v>
      </c>
      <c r="G114" s="26">
        <v>0</v>
      </c>
      <c r="H114" s="26">
        <f>Kroger!P114</f>
        <v>6850.5450510041201</v>
      </c>
      <c r="I114" s="26">
        <v>0</v>
      </c>
      <c r="J114" s="26">
        <v>0</v>
      </c>
      <c r="K114" s="26">
        <f>Masters!C114</f>
        <v>0</v>
      </c>
      <c r="L114" s="62">
        <v>0</v>
      </c>
      <c r="M114" s="26">
        <v>0</v>
      </c>
      <c r="N114" s="26">
        <v>0</v>
      </c>
      <c r="O114" s="26">
        <f>Teva!$S114</f>
        <v>9651.8103069661211</v>
      </c>
      <c r="P114" s="26"/>
      <c r="Q114" s="26">
        <f>'Walgreens National'!U114</f>
        <v>13815.646146940766</v>
      </c>
      <c r="R114" s="26">
        <f>Walmart!$H114</f>
        <v>7859.95</v>
      </c>
      <c r="S114" s="61">
        <f t="shared" si="1"/>
        <v>123124.54675028218</v>
      </c>
    </row>
    <row r="115" spans="1:19" x14ac:dyDescent="0.35">
      <c r="A115" s="3" t="s">
        <v>60</v>
      </c>
      <c r="B115" s="14" t="s">
        <v>145</v>
      </c>
      <c r="C115" s="26">
        <f>Allergan!$M115</f>
        <v>9935.5450570929552</v>
      </c>
      <c r="D115" s="26">
        <f>CVS!$P115</f>
        <v>21384.058786221147</v>
      </c>
      <c r="E115" s="26">
        <f>Distributors!$Z115</f>
        <v>90314.476938438223</v>
      </c>
      <c r="F115" s="26">
        <f>Janssen!$S115</f>
        <v>21229.628277772808</v>
      </c>
      <c r="G115" s="26">
        <v>0</v>
      </c>
      <c r="H115" s="26">
        <f>Kroger!P115</f>
        <v>11521.291425876132</v>
      </c>
      <c r="I115" s="26">
        <v>0</v>
      </c>
      <c r="J115" s="26">
        <v>0</v>
      </c>
      <c r="K115" s="26">
        <f>Masters!C115</f>
        <v>0</v>
      </c>
      <c r="L115" s="62">
        <v>0</v>
      </c>
      <c r="M115" s="26">
        <v>0</v>
      </c>
      <c r="N115" s="26">
        <v>0</v>
      </c>
      <c r="O115" s="26">
        <f>Teva!$S115</f>
        <v>16232.483863058094</v>
      </c>
      <c r="P115" s="26"/>
      <c r="Q115" s="26">
        <f>'Walgreens National'!U115</f>
        <v>23235.2531881588</v>
      </c>
      <c r="R115" s="26">
        <f>Walmart!$H115</f>
        <v>13218.92</v>
      </c>
      <c r="S115" s="61">
        <f t="shared" si="1"/>
        <v>207071.65753661818</v>
      </c>
    </row>
    <row r="116" spans="1:19" x14ac:dyDescent="0.35">
      <c r="A116" s="3" t="s">
        <v>22</v>
      </c>
      <c r="B116" s="14" t="s">
        <v>146</v>
      </c>
      <c r="C116" s="26">
        <f>Allergan!$M116</f>
        <v>31693.469276068157</v>
      </c>
      <c r="D116" s="26">
        <f>CVS!$P116</f>
        <v>68213.13354552575</v>
      </c>
      <c r="E116" s="26">
        <f>Distributors!$Z116</f>
        <v>288094.69325622456</v>
      </c>
      <c r="F116" s="26">
        <f>Janssen!$S116</f>
        <v>67720.54885479201</v>
      </c>
      <c r="G116" s="26">
        <v>0</v>
      </c>
      <c r="H116" s="26">
        <f>Kroger!P116</f>
        <v>36751.838695832819</v>
      </c>
      <c r="I116" s="26">
        <v>0</v>
      </c>
      <c r="J116" s="26">
        <v>0</v>
      </c>
      <c r="K116" s="26">
        <f>Masters!C116</f>
        <v>0</v>
      </c>
      <c r="L116" s="62">
        <v>0</v>
      </c>
      <c r="M116" s="26">
        <v>0</v>
      </c>
      <c r="N116" s="26">
        <v>0</v>
      </c>
      <c r="O116" s="26">
        <f>Teva!$S116</f>
        <v>51780.099842746895</v>
      </c>
      <c r="P116" s="26"/>
      <c r="Q116" s="26">
        <f>'Walgreens National'!U116</f>
        <v>74118.27823520964</v>
      </c>
      <c r="R116" s="26">
        <f>Walmart!$H116</f>
        <v>42167.119999999995</v>
      </c>
      <c r="S116" s="61">
        <f t="shared" si="1"/>
        <v>660539.18170639989</v>
      </c>
    </row>
    <row r="117" spans="1:19" x14ac:dyDescent="0.35">
      <c r="A117" s="3" t="s">
        <v>22</v>
      </c>
      <c r="B117" s="14" t="s">
        <v>147</v>
      </c>
      <c r="C117" s="26">
        <f>Allergan!$M117</f>
        <v>8846.351627395421</v>
      </c>
      <c r="D117" s="26">
        <f>CVS!$P117</f>
        <v>19039.783663808761</v>
      </c>
      <c r="E117" s="26">
        <f>Distributors!$Z117</f>
        <v>80413.592115258172</v>
      </c>
      <c r="F117" s="26">
        <f>Janssen!$S117</f>
        <v>18902.291208803585</v>
      </c>
      <c r="G117" s="26">
        <v>0</v>
      </c>
      <c r="H117" s="26">
        <f>Kroger!P117</f>
        <v>10258.24885410284</v>
      </c>
      <c r="I117" s="26">
        <v>0</v>
      </c>
      <c r="J117" s="26">
        <v>0</v>
      </c>
      <c r="K117" s="26">
        <f>Masters!C117</f>
        <v>0</v>
      </c>
      <c r="L117" s="62">
        <v>0</v>
      </c>
      <c r="M117" s="26">
        <v>0</v>
      </c>
      <c r="N117" s="26">
        <v>0</v>
      </c>
      <c r="O117" s="26">
        <f>Teva!$S117</f>
        <v>14452.964039520382</v>
      </c>
      <c r="P117" s="26"/>
      <c r="Q117" s="26">
        <f>'Walgreens National'!U117</f>
        <v>20688.046966212118</v>
      </c>
      <c r="R117" s="26">
        <f>Walmart!$H117</f>
        <v>11769.779999999999</v>
      </c>
      <c r="S117" s="61">
        <f t="shared" si="1"/>
        <v>184371.05847510128</v>
      </c>
    </row>
    <row r="118" spans="1:19" x14ac:dyDescent="0.35">
      <c r="A118" s="3" t="s">
        <v>75</v>
      </c>
      <c r="B118" s="14" t="s">
        <v>148</v>
      </c>
      <c r="C118" s="26">
        <f>Allergan!$M118</f>
        <v>36369.961476089185</v>
      </c>
      <c r="D118" s="26">
        <f>CVS!$P118</f>
        <v>78278.216786303528</v>
      </c>
      <c r="E118" s="26">
        <f>Distributors!$Z118</f>
        <v>339273.87649487436</v>
      </c>
      <c r="F118" s="26">
        <f>Janssen!$S118</f>
        <v>78301.689167100965</v>
      </c>
      <c r="G118" s="26">
        <v>0</v>
      </c>
      <c r="H118" s="26">
        <f>Kroger!P118</f>
        <v>22501.141824245165</v>
      </c>
      <c r="I118" s="26">
        <v>0</v>
      </c>
      <c r="J118" s="26">
        <v>0</v>
      </c>
      <c r="K118" s="26">
        <f>Masters!C118</f>
        <v>0</v>
      </c>
      <c r="L118" s="62">
        <v>0</v>
      </c>
      <c r="M118" s="26">
        <v>0</v>
      </c>
      <c r="N118" s="26">
        <v>0</v>
      </c>
      <c r="O118" s="26">
        <f>Teva!$S118</f>
        <v>59420.441420939685</v>
      </c>
      <c r="P118" s="26"/>
      <c r="Q118" s="26">
        <f>'Walgreens National'!U118</f>
        <v>85054.707377794024</v>
      </c>
      <c r="R118" s="26">
        <f>Walmart!$H118</f>
        <v>48389.04</v>
      </c>
      <c r="S118" s="61">
        <f t="shared" si="1"/>
        <v>747589.07454734691</v>
      </c>
    </row>
    <row r="119" spans="1:19" x14ac:dyDescent="0.35">
      <c r="A119" s="3" t="s">
        <v>60</v>
      </c>
      <c r="B119" s="14" t="s">
        <v>149</v>
      </c>
      <c r="C119" s="26">
        <f>Allergan!$M119</f>
        <v>87.47</v>
      </c>
      <c r="D119" s="26">
        <f>CVS!$P119</f>
        <v>1798.39</v>
      </c>
      <c r="E119" s="26">
        <f>Distributors!$Z119</f>
        <v>732.63</v>
      </c>
      <c r="F119" s="26">
        <f>Janssen!$S119</f>
        <v>193.57999999999998</v>
      </c>
      <c r="G119" s="26">
        <v>0</v>
      </c>
      <c r="H119" s="26">
        <f>Kroger!P119</f>
        <v>99.036887419788499</v>
      </c>
      <c r="I119" s="26">
        <v>0</v>
      </c>
      <c r="J119" s="26">
        <v>0</v>
      </c>
      <c r="K119" s="26">
        <f>Masters!C119</f>
        <v>0</v>
      </c>
      <c r="L119" s="62">
        <v>0</v>
      </c>
      <c r="M119" s="26">
        <v>0</v>
      </c>
      <c r="N119" s="26">
        <v>0</v>
      </c>
      <c r="O119" s="26">
        <f>Teva!$S119</f>
        <v>140.4392378476031</v>
      </c>
      <c r="P119" s="26"/>
      <c r="Q119" s="26">
        <f>'Walgreens National'!U119</f>
        <v>177.55360614884049</v>
      </c>
      <c r="R119" s="26">
        <f>Walmart!$H119</f>
        <v>113.63</v>
      </c>
      <c r="S119" s="61">
        <f t="shared" si="1"/>
        <v>3342.7297314162324</v>
      </c>
    </row>
    <row r="120" spans="1:19" x14ac:dyDescent="0.35">
      <c r="A120" s="3" t="s">
        <v>34</v>
      </c>
      <c r="B120" s="14" t="s">
        <v>150</v>
      </c>
      <c r="C120" s="26">
        <f>Allergan!$M120</f>
        <v>12884.0571208777</v>
      </c>
      <c r="D120" s="26">
        <f>CVS!$P120</f>
        <v>27730.045673199504</v>
      </c>
      <c r="E120" s="26">
        <f>Distributors!$Z120</f>
        <v>117116.43077415557</v>
      </c>
      <c r="F120" s="26">
        <f>Janssen!$S120</f>
        <v>27529.8093966126</v>
      </c>
      <c r="G120" s="26">
        <v>0</v>
      </c>
      <c r="H120" s="26">
        <f>Kroger!P120</f>
        <v>14940.381432588876</v>
      </c>
      <c r="I120" s="26">
        <v>0</v>
      </c>
      <c r="J120" s="26">
        <v>0</v>
      </c>
      <c r="K120" s="26">
        <f>Masters!C120</f>
        <v>0</v>
      </c>
      <c r="L120" s="62">
        <v>0</v>
      </c>
      <c r="M120" s="26">
        <v>0</v>
      </c>
      <c r="N120" s="26">
        <v>0</v>
      </c>
      <c r="O120" s="26">
        <f>Teva!$S120</f>
        <v>21049.68174283762</v>
      </c>
      <c r="P120" s="26"/>
      <c r="Q120" s="26">
        <f>'Walgreens National'!U120</f>
        <v>30130.607224814976</v>
      </c>
      <c r="R120" s="26">
        <f>Walmart!$H120</f>
        <v>17141.809999999998</v>
      </c>
      <c r="S120" s="61">
        <f t="shared" si="1"/>
        <v>268522.82336508686</v>
      </c>
    </row>
    <row r="121" spans="1:19" x14ac:dyDescent="0.35">
      <c r="A121" s="3" t="s">
        <v>34</v>
      </c>
      <c r="B121" s="14" t="s">
        <v>151</v>
      </c>
      <c r="C121" s="26">
        <f>Allergan!$M121</f>
        <v>5151.0211981222874</v>
      </c>
      <c r="D121" s="26">
        <f>CVS!$P121</f>
        <v>11086.432431436115</v>
      </c>
      <c r="E121" s="26">
        <f>Distributors!$Z121</f>
        <v>47263.854605779743</v>
      </c>
      <c r="F121" s="26">
        <f>Janssen!$S121</f>
        <v>11006.363721668149</v>
      </c>
      <c r="G121" s="26">
        <v>0</v>
      </c>
      <c r="H121" s="26">
        <f>Kroger!P121</f>
        <v>5973.141533509558</v>
      </c>
      <c r="I121" s="26">
        <v>0</v>
      </c>
      <c r="J121" s="26">
        <v>0</v>
      </c>
      <c r="K121" s="26">
        <f>Masters!C121</f>
        <v>0</v>
      </c>
      <c r="L121" s="62">
        <v>0</v>
      </c>
      <c r="M121" s="26">
        <v>0</v>
      </c>
      <c r="N121" s="26">
        <v>0</v>
      </c>
      <c r="O121" s="26">
        <f>Teva!$S121</f>
        <v>8415.6299948668111</v>
      </c>
      <c r="P121" s="26"/>
      <c r="Q121" s="26">
        <f>'Walgreens National'!U121</f>
        <v>12046.164689921676</v>
      </c>
      <c r="R121" s="26">
        <f>Walmart!$H121</f>
        <v>6853.2699999999995</v>
      </c>
      <c r="S121" s="61">
        <f t="shared" si="1"/>
        <v>107795.87817530434</v>
      </c>
    </row>
    <row r="122" spans="1:19" x14ac:dyDescent="0.35">
      <c r="A122" s="3" t="s">
        <v>22</v>
      </c>
      <c r="B122" s="14" t="s">
        <v>152</v>
      </c>
      <c r="C122" s="26">
        <f>Allergan!$M122</f>
        <v>6850.3443839162328</v>
      </c>
      <c r="D122" s="26">
        <f>CVS!$P122</f>
        <v>14743.852199229201</v>
      </c>
      <c r="E122" s="26">
        <f>Distributors!$Z122</f>
        <v>61829.037810753915</v>
      </c>
      <c r="F122" s="26">
        <f>Janssen!$S122</f>
        <v>14637.365096488393</v>
      </c>
      <c r="G122" s="26">
        <v>0</v>
      </c>
      <c r="H122" s="26">
        <f>Kroger!P122</f>
        <v>7943.6829696519389</v>
      </c>
      <c r="I122" s="26">
        <v>0</v>
      </c>
      <c r="J122" s="26">
        <v>0</v>
      </c>
      <c r="K122" s="26">
        <f>Masters!C122</f>
        <v>0</v>
      </c>
      <c r="L122" s="62">
        <v>0</v>
      </c>
      <c r="M122" s="26">
        <v>0</v>
      </c>
      <c r="N122" s="26">
        <v>0</v>
      </c>
      <c r="O122" s="26">
        <f>Teva!$S122</f>
        <v>11191.950028214384</v>
      </c>
      <c r="P122" s="26"/>
      <c r="Q122" s="26">
        <f>'Walgreens National'!U122</f>
        <v>16020.206836041636</v>
      </c>
      <c r="R122" s="26">
        <f>Walmart!$H122</f>
        <v>9114.17</v>
      </c>
      <c r="S122" s="61">
        <f t="shared" si="1"/>
        <v>142330.60932429571</v>
      </c>
    </row>
    <row r="123" spans="1:19" x14ac:dyDescent="0.35">
      <c r="A123" s="3" t="s">
        <v>153</v>
      </c>
      <c r="B123" s="14" t="s">
        <v>153</v>
      </c>
      <c r="C123" s="26">
        <f>Allergan!$M123</f>
        <v>122390.25632361778</v>
      </c>
      <c r="D123" s="26">
        <f>CVS!$P123</f>
        <v>263417.70134233235</v>
      </c>
      <c r="E123" s="26">
        <f>Distributors!$Z123</f>
        <v>1183991.7945155466</v>
      </c>
      <c r="F123" s="26">
        <f>Janssen!$S123</f>
        <v>273255.8242947355</v>
      </c>
      <c r="G123" s="26">
        <v>0</v>
      </c>
      <c r="H123" s="26">
        <f>Kroger!P123</f>
        <v>75719.644309459938</v>
      </c>
      <c r="I123" s="26">
        <v>0</v>
      </c>
      <c r="J123" s="26">
        <v>0</v>
      </c>
      <c r="K123" s="26">
        <f>Masters!C123</f>
        <v>1681.05</v>
      </c>
      <c r="L123" s="62">
        <v>0</v>
      </c>
      <c r="M123" s="26">
        <v>0</v>
      </c>
      <c r="N123" s="26">
        <v>0</v>
      </c>
      <c r="O123" s="26">
        <f>Teva!$S123</f>
        <v>199958.51013296883</v>
      </c>
      <c r="P123" s="26"/>
      <c r="Q123" s="26">
        <f>'Walgreens National'!U123</f>
        <v>286221.54662500758</v>
      </c>
      <c r="R123" s="26">
        <f>Walmart!$H123</f>
        <v>162836.20000000001</v>
      </c>
      <c r="S123" s="61">
        <f t="shared" si="1"/>
        <v>2569472.5275436686</v>
      </c>
    </row>
    <row r="124" spans="1:19" x14ac:dyDescent="0.35">
      <c r="A124" s="3" t="s">
        <v>24</v>
      </c>
      <c r="B124" s="14" t="s">
        <v>154</v>
      </c>
      <c r="C124" s="26">
        <f>Allergan!$M124</f>
        <v>5104.6855338557598</v>
      </c>
      <c r="D124" s="26">
        <f>CVS!$P124</f>
        <v>10986.69879829359</v>
      </c>
      <c r="E124" s="26">
        <f>Distributors!$Z124</f>
        <v>46401.779666631883</v>
      </c>
      <c r="F124" s="26">
        <f>Janssen!$S124</f>
        <v>10907.371167419673</v>
      </c>
      <c r="G124" s="26">
        <v>0</v>
      </c>
      <c r="H124" s="26">
        <f>Kroger!P124</f>
        <v>5919.409753559069</v>
      </c>
      <c r="I124" s="26">
        <v>0</v>
      </c>
      <c r="J124" s="26">
        <v>0</v>
      </c>
      <c r="K124" s="26">
        <f>Masters!C124</f>
        <v>0</v>
      </c>
      <c r="L124" s="62">
        <v>0</v>
      </c>
      <c r="M124" s="26">
        <v>0</v>
      </c>
      <c r="N124" s="26">
        <v>0</v>
      </c>
      <c r="O124" s="26">
        <f>Teva!$S124</f>
        <v>8339.9241411805524</v>
      </c>
      <c r="P124" s="26"/>
      <c r="Q124" s="26">
        <f>'Walgreens National'!U124</f>
        <v>11937.814205962031</v>
      </c>
      <c r="R124" s="26">
        <f>Walmart!$H124</f>
        <v>6791.62</v>
      </c>
      <c r="S124" s="61">
        <f t="shared" si="1"/>
        <v>106389.30326690256</v>
      </c>
    </row>
    <row r="125" spans="1:19" x14ac:dyDescent="0.35">
      <c r="A125" s="3" t="s">
        <v>155</v>
      </c>
      <c r="B125" s="14" t="s">
        <v>156</v>
      </c>
      <c r="C125" s="26">
        <f>Allergan!$M125</f>
        <v>28973.837866851154</v>
      </c>
      <c r="D125" s="26">
        <f>CVS!$P125</f>
        <v>62359.71034636152</v>
      </c>
      <c r="E125" s="26">
        <f>Distributors!$Z125</f>
        <v>263373.11456130678</v>
      </c>
      <c r="F125" s="26">
        <f>Janssen!$S125</f>
        <v>61909.398301401867</v>
      </c>
      <c r="G125" s="26">
        <v>0</v>
      </c>
      <c r="H125" s="26">
        <f>Kroger!P125</f>
        <v>33598.140074638875</v>
      </c>
      <c r="I125" s="26">
        <v>0</v>
      </c>
      <c r="J125" s="26">
        <v>0</v>
      </c>
      <c r="K125" s="26">
        <f>Masters!C125</f>
        <v>0</v>
      </c>
      <c r="L125" s="62">
        <v>0</v>
      </c>
      <c r="M125" s="26">
        <v>0</v>
      </c>
      <c r="N125" s="26">
        <v>0</v>
      </c>
      <c r="O125" s="26">
        <f>Teva!$S125</f>
        <v>47336.817037847759</v>
      </c>
      <c r="P125" s="26"/>
      <c r="Q125" s="26">
        <f>'Walgreens National'!U125</f>
        <v>67758.148609780983</v>
      </c>
      <c r="R125" s="26">
        <f>Walmart!$H125</f>
        <v>38548.729999999996</v>
      </c>
      <c r="S125" s="61">
        <f t="shared" si="1"/>
        <v>603857.89679818891</v>
      </c>
    </row>
    <row r="126" spans="1:19" x14ac:dyDescent="0.35">
      <c r="A126" s="3" t="s">
        <v>34</v>
      </c>
      <c r="B126" s="14" t="s">
        <v>157</v>
      </c>
      <c r="C126" s="26">
        <f>Allergan!$M126</f>
        <v>734.65</v>
      </c>
      <c r="D126" s="26">
        <f>CVS!$P126</f>
        <v>10188.44</v>
      </c>
      <c r="E126" s="26">
        <f>Distributors!$Z126</f>
        <v>5965.0458569721031</v>
      </c>
      <c r="F126" s="26">
        <f>Janssen!$S126</f>
        <v>1532.7145730838981</v>
      </c>
      <c r="G126" s="26">
        <v>0</v>
      </c>
      <c r="H126" s="26">
        <f>Kroger!P126</f>
        <v>831.79854295584516</v>
      </c>
      <c r="I126" s="26">
        <v>0</v>
      </c>
      <c r="J126" s="26">
        <v>0</v>
      </c>
      <c r="K126" s="26">
        <f>Masters!C126</f>
        <v>0</v>
      </c>
      <c r="L126" s="62">
        <v>0</v>
      </c>
      <c r="M126" s="26">
        <v>0</v>
      </c>
      <c r="N126" s="26">
        <v>0</v>
      </c>
      <c r="O126" s="26">
        <f>Teva!$S126</f>
        <v>1179.5317528539827</v>
      </c>
      <c r="P126" s="26"/>
      <c r="Q126" s="26">
        <f>'Walgreens National'!U126</f>
        <v>3264.3107323170566</v>
      </c>
      <c r="R126" s="26">
        <f>Walmart!$H126</f>
        <v>954.3599999999999</v>
      </c>
      <c r="S126" s="61">
        <f t="shared" si="1"/>
        <v>24650.851458182886</v>
      </c>
    </row>
    <row r="127" spans="1:19" x14ac:dyDescent="0.35">
      <c r="A127" s="3" t="s">
        <v>158</v>
      </c>
      <c r="B127" s="14" t="s">
        <v>158</v>
      </c>
      <c r="C127" s="26">
        <f>Allergan!$M127</f>
        <v>72992.374726272668</v>
      </c>
      <c r="D127" s="26">
        <f>CVS!$P127</f>
        <v>157099.79712082807</v>
      </c>
      <c r="E127" s="26">
        <f>Distributors!$Z127</f>
        <v>706121.36857924599</v>
      </c>
      <c r="F127" s="26">
        <f>Janssen!$S127</f>
        <v>162967.15434706534</v>
      </c>
      <c r="G127" s="26">
        <v>0</v>
      </c>
      <c r="H127" s="26">
        <f>Kroger!P127</f>
        <v>45158.471011468777</v>
      </c>
      <c r="I127" s="26">
        <v>0</v>
      </c>
      <c r="J127" s="26">
        <v>0</v>
      </c>
      <c r="K127" s="26">
        <f>Masters!C127</f>
        <v>1656.69</v>
      </c>
      <c r="L127" s="62">
        <v>0</v>
      </c>
      <c r="M127" s="26">
        <v>0</v>
      </c>
      <c r="N127" s="26">
        <v>0</v>
      </c>
      <c r="O127" s="26">
        <f>Teva!$S127</f>
        <v>119253.34226804844</v>
      </c>
      <c r="P127" s="26"/>
      <c r="Q127" s="26">
        <f>'Walgreens National'!U127</f>
        <v>170699.7935149601</v>
      </c>
      <c r="R127" s="26">
        <f>Walmart!$H127</f>
        <v>97113.95</v>
      </c>
      <c r="S127" s="61">
        <f t="shared" si="1"/>
        <v>1533062.9415678892</v>
      </c>
    </row>
    <row r="128" spans="1:19" x14ac:dyDescent="0.35">
      <c r="A128" s="3" t="s">
        <v>22</v>
      </c>
      <c r="B128" s="14" t="s">
        <v>159</v>
      </c>
      <c r="C128" s="26">
        <f>Allergan!$M128</f>
        <v>11851.305721516219</v>
      </c>
      <c r="D128" s="26">
        <f>CVS!$P128</f>
        <v>25507.276199766256</v>
      </c>
      <c r="E128" s="26">
        <f>Distributors!$Z128</f>
        <v>124765.49045583144</v>
      </c>
      <c r="F128" s="26">
        <f>Janssen!$S128</f>
        <v>26459.933879891349</v>
      </c>
      <c r="G128" s="26">
        <v>0</v>
      </c>
      <c r="H128" s="26">
        <f>Kroger!P128</f>
        <v>7332.0901930176015</v>
      </c>
      <c r="I128" s="26">
        <v>0</v>
      </c>
      <c r="J128" s="26">
        <v>0</v>
      </c>
      <c r="K128" s="26">
        <f>Masters!C128</f>
        <v>0</v>
      </c>
      <c r="L128" s="62">
        <v>0</v>
      </c>
      <c r="M128" s="26">
        <f>Meijer!D9</f>
        <v>2708.2725</v>
      </c>
      <c r="N128" s="26">
        <v>0</v>
      </c>
      <c r="O128" s="26">
        <f>Teva!$S128</f>
        <v>19362.393509187939</v>
      </c>
      <c r="P128" s="26"/>
      <c r="Q128" s="26">
        <f>'Walgreens National'!U128</f>
        <v>27715.423630815745</v>
      </c>
      <c r="R128" s="26">
        <f>Walmart!$H128</f>
        <v>15767.760000000002</v>
      </c>
      <c r="S128" s="61">
        <f t="shared" si="1"/>
        <v>261469.94609002655</v>
      </c>
    </row>
    <row r="129" spans="1:19" x14ac:dyDescent="0.35">
      <c r="A129" s="3" t="s">
        <v>160</v>
      </c>
      <c r="B129" s="14" t="s">
        <v>160</v>
      </c>
      <c r="C129" s="26">
        <f>Allergan!$M129</f>
        <v>51263.246422968135</v>
      </c>
      <c r="D129" s="26">
        <f>CVS!$P129</f>
        <v>110332.70703878836</v>
      </c>
      <c r="E129" s="26">
        <f>Distributors!$Z129</f>
        <v>455867.50970367109</v>
      </c>
      <c r="F129" s="26">
        <f>Janssen!$S129</f>
        <v>109535.95872710204</v>
      </c>
      <c r="G129" s="26">
        <v>0</v>
      </c>
      <c r="H129" s="26">
        <f>Kroger!P129</f>
        <v>59445.006918195766</v>
      </c>
      <c r="I129" s="26">
        <v>0</v>
      </c>
      <c r="J129" s="26">
        <v>0</v>
      </c>
      <c r="K129" s="26">
        <f>Masters!C129</f>
        <v>0</v>
      </c>
      <c r="L129" s="62">
        <v>0</v>
      </c>
      <c r="M129" s="26">
        <v>0</v>
      </c>
      <c r="N129" s="26">
        <v>0</v>
      </c>
      <c r="O129" s="26">
        <f>Teva!$S129</f>
        <v>83752.772764017209</v>
      </c>
      <c r="P129" s="26"/>
      <c r="Q129" s="26">
        <f>'Walgreens National'!U129</f>
        <v>119884.12309590151</v>
      </c>
      <c r="R129" s="26">
        <f>Walmart!$H129</f>
        <v>68204.070000000007</v>
      </c>
      <c r="S129" s="61">
        <f t="shared" si="1"/>
        <v>1058285.3946706441</v>
      </c>
    </row>
    <row r="130" spans="1:19" x14ac:dyDescent="0.35">
      <c r="A130" s="3" t="s">
        <v>34</v>
      </c>
      <c r="B130" s="14" t="s">
        <v>161</v>
      </c>
      <c r="C130" s="26">
        <f>Allergan!$M130</f>
        <v>14442.015764688473</v>
      </c>
      <c r="D130" s="26">
        <f>CVS!$P130</f>
        <v>31083.214333698008</v>
      </c>
      <c r="E130" s="26">
        <f>Distributors!$Z130</f>
        <v>131278.41709989356</v>
      </c>
      <c r="F130" s="26">
        <f>Janssen!$S130</f>
        <v>30858.750183546283</v>
      </c>
      <c r="G130" s="26">
        <v>0</v>
      </c>
      <c r="H130" s="26">
        <f>Kroger!P130</f>
        <v>16747.002693084385</v>
      </c>
      <c r="I130" s="26">
        <v>0</v>
      </c>
      <c r="J130" s="26">
        <v>0</v>
      </c>
      <c r="K130" s="26">
        <f>Masters!C130</f>
        <v>0</v>
      </c>
      <c r="L130" s="62">
        <v>0</v>
      </c>
      <c r="M130" s="26">
        <v>0</v>
      </c>
      <c r="N130" s="26">
        <v>0</v>
      </c>
      <c r="O130" s="26">
        <f>Teva!$S130</f>
        <v>23595.04989229529</v>
      </c>
      <c r="P130" s="26"/>
      <c r="Q130" s="26">
        <f>'Walgreens National'!U130</f>
        <v>33774.072825892799</v>
      </c>
      <c r="R130" s="26">
        <f>Walmart!$H130</f>
        <v>19214.629999999997</v>
      </c>
      <c r="S130" s="61">
        <f t="shared" si="1"/>
        <v>300993.15279309882</v>
      </c>
    </row>
    <row r="131" spans="1:19" x14ac:dyDescent="0.35">
      <c r="A131" s="3" t="s">
        <v>90</v>
      </c>
      <c r="B131" s="14" t="s">
        <v>90</v>
      </c>
      <c r="C131" s="26">
        <f>Allergan!$M131</f>
        <v>700161.5054774977</v>
      </c>
      <c r="D131" s="26">
        <f>CVS!$P131</f>
        <v>1506941.3039685185</v>
      </c>
      <c r="E131" s="26">
        <f>Distributors!$Z131</f>
        <v>6773296.158582896</v>
      </c>
      <c r="F131" s="26">
        <f>Janssen!$S131</f>
        <v>1563222.5246216333</v>
      </c>
      <c r="G131" s="26">
        <v>0</v>
      </c>
      <c r="H131" s="26">
        <f>Kroger!P131</f>
        <v>433171.57013961021</v>
      </c>
      <c r="I131" s="26">
        <v>0</v>
      </c>
      <c r="J131" s="26">
        <v>0</v>
      </c>
      <c r="K131" s="26">
        <f>Masters!C131</f>
        <v>2866.72</v>
      </c>
      <c r="L131" s="62">
        <v>0</v>
      </c>
      <c r="M131" s="26">
        <v>0</v>
      </c>
      <c r="N131" s="26">
        <v>0</v>
      </c>
      <c r="O131" s="26">
        <f>Teva!$S131</f>
        <v>1143908.4445530726</v>
      </c>
      <c r="P131" s="26"/>
      <c r="Q131" s="26">
        <f>'Walgreens National'!U131</f>
        <v>1637395.8922485714</v>
      </c>
      <c r="R131" s="26">
        <f>Walmart!$H131</f>
        <v>931541.76</v>
      </c>
      <c r="S131" s="61">
        <f t="shared" si="1"/>
        <v>14692505.879591798</v>
      </c>
    </row>
    <row r="132" spans="1:19" x14ac:dyDescent="0.35">
      <c r="A132" s="3" t="s">
        <v>22</v>
      </c>
      <c r="B132" s="14" t="s">
        <v>162</v>
      </c>
      <c r="C132" s="26">
        <f>Allergan!$M132</f>
        <v>29210.990551010898</v>
      </c>
      <c r="D132" s="26">
        <f>CVS!$P132</f>
        <v>62870.119765015472</v>
      </c>
      <c r="E132" s="26">
        <f>Distributors!$Z132</f>
        <v>265528.77206204488</v>
      </c>
      <c r="F132" s="26">
        <f>Janssen!$S132</f>
        <v>62416.132149164026</v>
      </c>
      <c r="G132" s="26">
        <v>0</v>
      </c>
      <c r="H132" s="26">
        <f>Kroger!P132</f>
        <v>33873.135139799713</v>
      </c>
      <c r="I132" s="26">
        <v>0</v>
      </c>
      <c r="J132" s="26">
        <v>0</v>
      </c>
      <c r="K132" s="26">
        <f>Masters!C132</f>
        <v>0</v>
      </c>
      <c r="L132" s="62">
        <v>0</v>
      </c>
      <c r="M132" s="26">
        <v>0</v>
      </c>
      <c r="N132" s="26">
        <v>0</v>
      </c>
      <c r="O132" s="26">
        <f>Teva!$S132</f>
        <v>47724.264563158584</v>
      </c>
      <c r="P132" s="26"/>
      <c r="Q132" s="26">
        <f>'Walgreens National'!U132</f>
        <v>68312.740524477762</v>
      </c>
      <c r="R132" s="26">
        <f>Walmart!$H132</f>
        <v>38864.25</v>
      </c>
      <c r="S132" s="61">
        <f t="shared" ref="S132:S195" si="2">SUM(C132:R132)</f>
        <v>608800.40475467138</v>
      </c>
    </row>
    <row r="133" spans="1:19" x14ac:dyDescent="0.35">
      <c r="A133" s="3" t="s">
        <v>163</v>
      </c>
      <c r="B133" s="14" t="s">
        <v>164</v>
      </c>
      <c r="C133" s="26">
        <f>Allergan!$M133</f>
        <v>7861.1901146282526</v>
      </c>
      <c r="D133" s="26">
        <f>CVS!$P133</f>
        <v>16919.453132261639</v>
      </c>
      <c r="E133" s="26">
        <f>Distributors!$Z133</f>
        <v>71458.434657263599</v>
      </c>
      <c r="F133" s="26">
        <f>Janssen!$S133</f>
        <v>16797.27357942456</v>
      </c>
      <c r="G133" s="26">
        <v>0</v>
      </c>
      <c r="H133" s="26">
        <f>Kroger!P133</f>
        <v>9115.8548424594883</v>
      </c>
      <c r="I133" s="26">
        <v>0</v>
      </c>
      <c r="J133" s="26">
        <v>0</v>
      </c>
      <c r="K133" s="26">
        <f>Masters!C133</f>
        <v>0</v>
      </c>
      <c r="L133" s="62">
        <v>0</v>
      </c>
      <c r="M133" s="26">
        <v>0</v>
      </c>
      <c r="N133" s="26">
        <v>0</v>
      </c>
      <c r="O133" s="26">
        <f>Teva!$S133</f>
        <v>12843.43305341117</v>
      </c>
      <c r="P133" s="26"/>
      <c r="Q133" s="26">
        <f>'Walgreens National'!U133</f>
        <v>18384.159817124382</v>
      </c>
      <c r="R133" s="26">
        <f>Walmart!$H133</f>
        <v>10459.049999999999</v>
      </c>
      <c r="S133" s="61">
        <f t="shared" si="2"/>
        <v>163838.84919657308</v>
      </c>
    </row>
    <row r="134" spans="1:19" x14ac:dyDescent="0.35">
      <c r="A134" s="3" t="s">
        <v>163</v>
      </c>
      <c r="B134" s="14" t="s">
        <v>163</v>
      </c>
      <c r="C134" s="26">
        <f>Allergan!$M134</f>
        <v>160885.66562741369</v>
      </c>
      <c r="D134" s="26">
        <f>CVS!$P134</f>
        <v>346270.46484981803</v>
      </c>
      <c r="E134" s="26">
        <f>Distributors!$Z134</f>
        <v>1500807.2416291567</v>
      </c>
      <c r="F134" s="26">
        <f>Janssen!$S134</f>
        <v>346374.29675862391</v>
      </c>
      <c r="G134" s="26">
        <v>0</v>
      </c>
      <c r="H134" s="26">
        <f>Kroger!P134</f>
        <v>99535.742778460844</v>
      </c>
      <c r="I134" s="26">
        <v>0</v>
      </c>
      <c r="J134" s="26">
        <v>0</v>
      </c>
      <c r="K134" s="26">
        <f>Masters!C134</f>
        <v>81.209999999999994</v>
      </c>
      <c r="L134" s="62">
        <v>0</v>
      </c>
      <c r="M134" s="26">
        <v>0</v>
      </c>
      <c r="N134" s="26">
        <v>0</v>
      </c>
      <c r="O134" s="26">
        <f>Teva!$S134</f>
        <v>262851.4559379862</v>
      </c>
      <c r="P134" s="26"/>
      <c r="Q134" s="26">
        <f>'Walgreens National'!U134</f>
        <v>376246.80271517957</v>
      </c>
      <c r="R134" s="26">
        <f>Walmart!$H134</f>
        <v>214053.06</v>
      </c>
      <c r="S134" s="61">
        <f t="shared" si="2"/>
        <v>3307105.9402966392</v>
      </c>
    </row>
    <row r="135" spans="1:19" x14ac:dyDescent="0.35">
      <c r="A135" s="3" t="s">
        <v>165</v>
      </c>
      <c r="B135" s="14" t="s">
        <v>165</v>
      </c>
      <c r="C135" s="26">
        <f>Allergan!$M135</f>
        <v>105356.63274155158</v>
      </c>
      <c r="D135" s="26">
        <f>CVS!$P135</f>
        <v>226756.62826955371</v>
      </c>
      <c r="E135" s="26">
        <f>Distributors!$Z135</f>
        <v>1019210.1130636983</v>
      </c>
      <c r="F135" s="26">
        <f>Janssen!$S135</f>
        <v>235225.53813663102</v>
      </c>
      <c r="G135" s="26">
        <v>0</v>
      </c>
      <c r="H135" s="26">
        <f>Kroger!P135</f>
        <v>65181.387990086143</v>
      </c>
      <c r="I135" s="26">
        <v>0</v>
      </c>
      <c r="J135" s="26">
        <v>0</v>
      </c>
      <c r="K135" s="26">
        <f>Masters!C135</f>
        <v>162.41999999999999</v>
      </c>
      <c r="L135" s="62">
        <v>0</v>
      </c>
      <c r="M135" s="26">
        <v>0</v>
      </c>
      <c r="N135" s="26">
        <v>0</v>
      </c>
      <c r="O135" s="26">
        <f>Teva!$S135</f>
        <v>172129.34391877975</v>
      </c>
      <c r="P135" s="26"/>
      <c r="Q135" s="26">
        <f>'Walgreens National'!U135</f>
        <v>246386.75444145463</v>
      </c>
      <c r="R135" s="26">
        <f>Walmart!$H135</f>
        <v>140173.53</v>
      </c>
      <c r="S135" s="61">
        <f t="shared" si="2"/>
        <v>2210582.3485617549</v>
      </c>
    </row>
    <row r="136" spans="1:19" x14ac:dyDescent="0.35">
      <c r="A136" s="3" t="s">
        <v>166</v>
      </c>
      <c r="B136" s="14" t="s">
        <v>166</v>
      </c>
      <c r="C136" s="26">
        <f>Allergan!$M136</f>
        <v>36157.066923234699</v>
      </c>
      <c r="D136" s="26">
        <f>CVS!$P136</f>
        <v>77820.022336798618</v>
      </c>
      <c r="E136" s="26">
        <f>Distributors!$Z136</f>
        <v>349780.06279756554</v>
      </c>
      <c r="F136" s="26">
        <f>Janssen!$S136</f>
        <v>80726.426380283825</v>
      </c>
      <c r="G136" s="26">
        <v>0</v>
      </c>
      <c r="H136" s="26">
        <f>Kroger!P136</f>
        <v>22369.430606092166</v>
      </c>
      <c r="I136" s="26">
        <v>0</v>
      </c>
      <c r="J136" s="26">
        <v>0</v>
      </c>
      <c r="K136" s="26">
        <f>Masters!C136</f>
        <v>0</v>
      </c>
      <c r="L136" s="62">
        <v>0</v>
      </c>
      <c r="M136" s="26">
        <v>0</v>
      </c>
      <c r="N136" s="26">
        <v>0</v>
      </c>
      <c r="O136" s="26">
        <f>Teva!$S136</f>
        <v>59072.622489061185</v>
      </c>
      <c r="P136" s="26"/>
      <c r="Q136" s="26">
        <f>'Walgreens National'!U136</f>
        <v>84556.836178272002</v>
      </c>
      <c r="R136" s="26">
        <f>Walmart!$H136</f>
        <v>48105.79</v>
      </c>
      <c r="S136" s="61">
        <f t="shared" si="2"/>
        <v>758588.25771130819</v>
      </c>
    </row>
    <row r="137" spans="1:19" x14ac:dyDescent="0.35">
      <c r="A137" s="3" t="s">
        <v>98</v>
      </c>
      <c r="B137" s="14" t="s">
        <v>167</v>
      </c>
      <c r="C137" s="26">
        <f>Allergan!$M137</f>
        <v>3012.8607504149263</v>
      </c>
      <c r="D137" s="26">
        <f>CVS!$P137</f>
        <v>6484.5093854020388</v>
      </c>
      <c r="E137" s="26">
        <f>Distributors!$Z137</f>
        <v>29146.129784807468</v>
      </c>
      <c r="F137" s="26">
        <f>Janssen!$S137</f>
        <v>6726.6766125242775</v>
      </c>
      <c r="G137" s="26">
        <v>0</v>
      </c>
      <c r="H137" s="26">
        <f>Kroger!P137</f>
        <v>1863.9775789000455</v>
      </c>
      <c r="I137" s="26">
        <v>0</v>
      </c>
      <c r="J137" s="26">
        <v>0</v>
      </c>
      <c r="K137" s="26">
        <f>Masters!C137</f>
        <v>0</v>
      </c>
      <c r="L137" s="62">
        <v>0</v>
      </c>
      <c r="M137" s="26">
        <v>0</v>
      </c>
      <c r="N137" s="26">
        <v>0</v>
      </c>
      <c r="O137" s="26">
        <f>Teva!$S137</f>
        <v>4922.3412727146488</v>
      </c>
      <c r="P137" s="26"/>
      <c r="Q137" s="26">
        <f>'Walgreens National'!U137</f>
        <v>7045.8720656194782</v>
      </c>
      <c r="R137" s="26">
        <f>Walmart!$H137</f>
        <v>4008.51</v>
      </c>
      <c r="S137" s="61">
        <f t="shared" si="2"/>
        <v>63210.87745038289</v>
      </c>
    </row>
    <row r="138" spans="1:19" x14ac:dyDescent="0.35">
      <c r="A138" s="3" t="s">
        <v>168</v>
      </c>
      <c r="B138" s="14" t="s">
        <v>168</v>
      </c>
      <c r="C138" s="26">
        <f>Allergan!$M138</f>
        <v>187600.31878524681</v>
      </c>
      <c r="D138" s="26">
        <f>CVS!$P138</f>
        <v>403767.80514915637</v>
      </c>
      <c r="E138" s="26">
        <f>Distributors!$Z138</f>
        <v>1814827.7512927488</v>
      </c>
      <c r="F138" s="26">
        <f>Janssen!$S138</f>
        <v>418847.72260645888</v>
      </c>
      <c r="G138" s="26">
        <v>0</v>
      </c>
      <c r="H138" s="26">
        <f>Kroger!P138</f>
        <v>116063.40166833645</v>
      </c>
      <c r="I138" s="26">
        <v>0</v>
      </c>
      <c r="J138" s="26">
        <v>0</v>
      </c>
      <c r="K138" s="26">
        <f>Masters!C138</f>
        <v>0</v>
      </c>
      <c r="L138" s="62">
        <v>0</v>
      </c>
      <c r="M138" s="26">
        <v>0</v>
      </c>
      <c r="N138" s="26">
        <v>0</v>
      </c>
      <c r="O138" s="26">
        <f>Teva!$S138</f>
        <v>306497.27059924323</v>
      </c>
      <c r="P138" s="26"/>
      <c r="Q138" s="26">
        <f>'Walgreens National'!U138</f>
        <v>438721.63499295525</v>
      </c>
      <c r="R138" s="26">
        <f>Walmart!$H138</f>
        <v>249596.04</v>
      </c>
      <c r="S138" s="61">
        <f t="shared" si="2"/>
        <v>3935921.9450941454</v>
      </c>
    </row>
    <row r="139" spans="1:19" x14ac:dyDescent="0.35">
      <c r="A139" s="3" t="s">
        <v>55</v>
      </c>
      <c r="B139" s="14" t="s">
        <v>169</v>
      </c>
      <c r="C139" s="26">
        <f>Allergan!$M139</f>
        <v>57860.530875281322</v>
      </c>
      <c r="D139" s="26">
        <f>CVS!$P139</f>
        <v>124531.85874565504</v>
      </c>
      <c r="E139" s="26">
        <f>Distributors!$Z139</f>
        <v>559737.266717155</v>
      </c>
      <c r="F139" s="26">
        <f>Janssen!$S139</f>
        <v>129182.88302639948</v>
      </c>
      <c r="G139" s="26">
        <v>0</v>
      </c>
      <c r="H139" s="26">
        <f>Kroger!P139</f>
        <v>35796.791398903551</v>
      </c>
      <c r="I139" s="26">
        <v>0</v>
      </c>
      <c r="J139" s="26">
        <v>0</v>
      </c>
      <c r="K139" s="26">
        <f>Masters!C139</f>
        <v>3573.25</v>
      </c>
      <c r="L139" s="62">
        <v>0</v>
      </c>
      <c r="M139" s="26">
        <v>0</v>
      </c>
      <c r="N139" s="26">
        <v>0</v>
      </c>
      <c r="O139" s="26">
        <f>Teva!$S139</f>
        <v>94531.251170906209</v>
      </c>
      <c r="P139" s="26"/>
      <c r="Q139" s="26">
        <f>'Walgreens National'!U139</f>
        <v>135312.47984422225</v>
      </c>
      <c r="R139" s="26">
        <f>Walmart!$H139</f>
        <v>76981.52</v>
      </c>
      <c r="S139" s="61">
        <f t="shared" si="2"/>
        <v>1217507.831778523</v>
      </c>
    </row>
    <row r="140" spans="1:19" x14ac:dyDescent="0.35">
      <c r="A140" s="3" t="s">
        <v>55</v>
      </c>
      <c r="B140" s="14" t="s">
        <v>55</v>
      </c>
      <c r="C140" s="26">
        <f>Allergan!$M140</f>
        <v>189942.08496884943</v>
      </c>
      <c r="D140" s="26">
        <f>CVS!$P140</f>
        <v>408807.91517703881</v>
      </c>
      <c r="E140" s="26">
        <f>Distributors!$Z140</f>
        <v>1726579.5809524583</v>
      </c>
      <c r="F140" s="26">
        <f>Janssen!$S140</f>
        <v>405855.82311997755</v>
      </c>
      <c r="G140" s="26">
        <v>0</v>
      </c>
      <c r="H140" s="26">
        <f>Kroger!P140</f>
        <v>220257.34526326272</v>
      </c>
      <c r="I140" s="26">
        <v>0</v>
      </c>
      <c r="J140" s="26">
        <v>0</v>
      </c>
      <c r="K140" s="26">
        <f>Masters!C140</f>
        <v>0</v>
      </c>
      <c r="L140" s="62">
        <v>0</v>
      </c>
      <c r="M140" s="26">
        <v>0</v>
      </c>
      <c r="N140" s="26">
        <v>0</v>
      </c>
      <c r="O140" s="26">
        <f>Teva!$S140</f>
        <v>310323.18445396324</v>
      </c>
      <c r="P140" s="26"/>
      <c r="Q140" s="26">
        <f>'Walgreens National'!U140</f>
        <v>444198.05881305889</v>
      </c>
      <c r="R140" s="26">
        <f>Walmart!$H140</f>
        <v>252711.66</v>
      </c>
      <c r="S140" s="61">
        <f t="shared" si="2"/>
        <v>3958675.652748609</v>
      </c>
    </row>
    <row r="141" spans="1:19" x14ac:dyDescent="0.35">
      <c r="A141" s="3" t="s">
        <v>83</v>
      </c>
      <c r="B141" s="14" t="s">
        <v>170</v>
      </c>
      <c r="C141" s="26">
        <f>Allergan!$M141</f>
        <v>9102.7014750786566</v>
      </c>
      <c r="D141" s="26">
        <f>CVS!$P141</f>
        <v>19591.5315894095</v>
      </c>
      <c r="E141" s="26">
        <f>Distributors!$Z141</f>
        <v>82743.839097542135</v>
      </c>
      <c r="F141" s="26">
        <f>Janssen!$S141</f>
        <v>19450.047126903621</v>
      </c>
      <c r="G141" s="26">
        <v>0</v>
      </c>
      <c r="H141" s="26">
        <f>Kroger!P141</f>
        <v>10555.514025309605</v>
      </c>
      <c r="I141" s="26">
        <v>0</v>
      </c>
      <c r="J141" s="26">
        <v>0</v>
      </c>
      <c r="K141" s="26">
        <f>Masters!C141</f>
        <v>0</v>
      </c>
      <c r="L141" s="62">
        <v>0</v>
      </c>
      <c r="M141" s="26">
        <v>0</v>
      </c>
      <c r="N141" s="26">
        <v>0</v>
      </c>
      <c r="O141" s="26">
        <f>Teva!$S141</f>
        <v>14871.792805533905</v>
      </c>
      <c r="P141" s="26"/>
      <c r="Q141" s="26">
        <f>'Walgreens National'!U141</f>
        <v>21287.54478872761</v>
      </c>
      <c r="R141" s="26">
        <f>Walmart!$H141</f>
        <v>12110.84</v>
      </c>
      <c r="S141" s="61">
        <f t="shared" si="2"/>
        <v>189713.81090850502</v>
      </c>
    </row>
    <row r="142" spans="1:19" x14ac:dyDescent="0.35">
      <c r="A142" s="3" t="s">
        <v>83</v>
      </c>
      <c r="B142" s="14" t="s">
        <v>171</v>
      </c>
      <c r="C142" s="26">
        <f>Allergan!$M142</f>
        <v>66267.516358263951</v>
      </c>
      <c r="D142" s="26">
        <f>CVS!$P142</f>
        <v>142626.01984920027</v>
      </c>
      <c r="E142" s="26">
        <f>Distributors!$Z142</f>
        <v>602373.79080508451</v>
      </c>
      <c r="F142" s="26">
        <f>Janssen!$S142</f>
        <v>141596.07953655213</v>
      </c>
      <c r="G142" s="26">
        <v>0</v>
      </c>
      <c r="H142" s="26">
        <f>Kroger!P142</f>
        <v>76843.984980321198</v>
      </c>
      <c r="I142" s="26">
        <v>0</v>
      </c>
      <c r="J142" s="26">
        <v>0</v>
      </c>
      <c r="K142" s="26">
        <f>Masters!C142</f>
        <v>0</v>
      </c>
      <c r="L142" s="62">
        <v>0</v>
      </c>
      <c r="M142" s="26">
        <v>0</v>
      </c>
      <c r="N142" s="26">
        <v>0</v>
      </c>
      <c r="O142" s="26">
        <f>Teva!$S142</f>
        <v>108266.40329248137</v>
      </c>
      <c r="P142" s="26"/>
      <c r="Q142" s="26">
        <f>'Walgreens National'!U142</f>
        <v>154973.03916971508</v>
      </c>
      <c r="R142" s="26">
        <f>Walmart!$H142</f>
        <v>88166.739999999991</v>
      </c>
      <c r="S142" s="61">
        <f t="shared" si="2"/>
        <v>1381113.5739916184</v>
      </c>
    </row>
    <row r="143" spans="1:19" x14ac:dyDescent="0.35">
      <c r="A143" s="3" t="s">
        <v>83</v>
      </c>
      <c r="B143" s="14" t="s">
        <v>83</v>
      </c>
      <c r="C143" s="26">
        <f>Allergan!$M143</f>
        <v>650858.00044552423</v>
      </c>
      <c r="D143" s="26">
        <f>CVS!$P143</f>
        <v>1400826.5219323665</v>
      </c>
      <c r="E143" s="26">
        <f>Distributors!$Z143</f>
        <v>6071469.5556879081</v>
      </c>
      <c r="F143" s="26">
        <f>Janssen!$S143</f>
        <v>1401246.5696260757</v>
      </c>
      <c r="G143" s="26">
        <v>0</v>
      </c>
      <c r="H143" s="26">
        <f>Kroger!P143</f>
        <v>402668.78809605516</v>
      </c>
      <c r="I143" s="26">
        <v>0</v>
      </c>
      <c r="J143" s="26">
        <v>0</v>
      </c>
      <c r="K143" s="26">
        <f>Masters!C143</f>
        <v>0</v>
      </c>
      <c r="L143" s="62">
        <v>0</v>
      </c>
      <c r="M143" s="26">
        <f>Meijer!D10</f>
        <v>1556250</v>
      </c>
      <c r="N143" s="26">
        <v>0</v>
      </c>
      <c r="O143" s="26">
        <f>Teva!$S143</f>
        <v>1063357.4700852456</v>
      </c>
      <c r="P143" s="26"/>
      <c r="Q143" s="26">
        <f>'Walgreens National'!U143</f>
        <v>1522094.8521544295</v>
      </c>
      <c r="R143" s="26">
        <f>Walmart!$H143</f>
        <v>865945.08000000007</v>
      </c>
      <c r="S143" s="61">
        <f t="shared" si="2"/>
        <v>14934716.838027606</v>
      </c>
    </row>
    <row r="144" spans="1:19" x14ac:dyDescent="0.35">
      <c r="A144" s="3" t="s">
        <v>172</v>
      </c>
      <c r="B144" s="14" t="s">
        <v>172</v>
      </c>
      <c r="C144" s="26">
        <f>Allergan!$M144</f>
        <v>28807.780383950576</v>
      </c>
      <c r="D144" s="26">
        <f>CVS!$P144</f>
        <v>62002.321468317212</v>
      </c>
      <c r="E144" s="26">
        <f>Distributors!$Z144</f>
        <v>261863.64592006756</v>
      </c>
      <c r="F144" s="26">
        <f>Janssen!$S144</f>
        <v>61554.584503772341</v>
      </c>
      <c r="G144" s="26">
        <v>0</v>
      </c>
      <c r="H144" s="26">
        <f>Kroger!P144</f>
        <v>33405.578424251573</v>
      </c>
      <c r="I144" s="26">
        <v>0</v>
      </c>
      <c r="J144" s="26">
        <v>0</v>
      </c>
      <c r="K144" s="26">
        <f>Masters!C144</f>
        <v>0</v>
      </c>
      <c r="L144" s="62">
        <v>0</v>
      </c>
      <c r="M144" s="26">
        <v>0</v>
      </c>
      <c r="N144" s="26">
        <v>0</v>
      </c>
      <c r="O144" s="26">
        <f>Teva!$S144</f>
        <v>47065.519607407594</v>
      </c>
      <c r="P144" s="26"/>
      <c r="Q144" s="26">
        <f>'Walgreens National'!U144</f>
        <v>67369.803549472723</v>
      </c>
      <c r="R144" s="26">
        <f>Walmart!$H144</f>
        <v>38327.800000000003</v>
      </c>
      <c r="S144" s="61">
        <f t="shared" si="2"/>
        <v>600397.03385723964</v>
      </c>
    </row>
    <row r="145" spans="1:19" x14ac:dyDescent="0.35">
      <c r="A145" s="3" t="s">
        <v>14</v>
      </c>
      <c r="B145" s="14" t="s">
        <v>14</v>
      </c>
      <c r="C145" s="26">
        <f>Allergan!$M145</f>
        <v>914580.49426465307</v>
      </c>
      <c r="D145" s="26">
        <f>CVS!$P145</f>
        <v>1967576.3975247242</v>
      </c>
      <c r="E145" s="26">
        <f>Distributors!$Z145</f>
        <v>8515779.4766981117</v>
      </c>
      <c r="F145" s="26">
        <f>Janssen!$S145</f>
        <v>1963469.3518720672</v>
      </c>
      <c r="G145" s="26">
        <v>0</v>
      </c>
      <c r="H145" s="26">
        <f>Kroger!P145</f>
        <v>564231.76495433797</v>
      </c>
      <c r="I145" s="26">
        <v>0</v>
      </c>
      <c r="J145" s="26">
        <f>Mallinckrodt!E13</f>
        <v>358804.6</v>
      </c>
      <c r="K145" s="26">
        <f>Masters!C145</f>
        <v>20099.52</v>
      </c>
      <c r="L145" s="62">
        <v>0</v>
      </c>
      <c r="M145" s="26">
        <v>0</v>
      </c>
      <c r="N145" s="26">
        <v>0</v>
      </c>
      <c r="O145" s="26">
        <f>Teva!$S145</f>
        <v>1490302.6105385388</v>
      </c>
      <c r="P145" s="26"/>
      <c r="Q145" s="26">
        <f>'Walgreens National'!U145</f>
        <v>2140289.928195152</v>
      </c>
      <c r="R145" s="26">
        <f>Walmart!$H145</f>
        <v>1213388.6099999999</v>
      </c>
      <c r="S145" s="61">
        <f t="shared" si="2"/>
        <v>19148522.754047584</v>
      </c>
    </row>
    <row r="146" spans="1:19" x14ac:dyDescent="0.35">
      <c r="A146" s="3" t="s">
        <v>14</v>
      </c>
      <c r="B146" s="14" t="s">
        <v>173</v>
      </c>
      <c r="C146" s="26">
        <f>Allergan!$M146</f>
        <v>24904.227798949785</v>
      </c>
      <c r="D146" s="26">
        <f>CVS!$P146</f>
        <v>53600.794705785462</v>
      </c>
      <c r="E146" s="26">
        <f>Distributors!$Z146</f>
        <v>226380.25007704718</v>
      </c>
      <c r="F146" s="26">
        <f>Janssen!$S146</f>
        <v>53213.726021638431</v>
      </c>
      <c r="G146" s="26">
        <v>0</v>
      </c>
      <c r="H146" s="26">
        <f>Kroger!P146</f>
        <v>28879.012352633486</v>
      </c>
      <c r="I146" s="26">
        <v>0</v>
      </c>
      <c r="J146" s="26">
        <v>0</v>
      </c>
      <c r="K146" s="26">
        <f>Masters!C146</f>
        <v>0</v>
      </c>
      <c r="L146" s="62">
        <v>0</v>
      </c>
      <c r="M146" s="26">
        <v>0</v>
      </c>
      <c r="N146" s="26">
        <v>0</v>
      </c>
      <c r="O146" s="26">
        <f>Teva!$S146</f>
        <v>40687.986460761982</v>
      </c>
      <c r="P146" s="26"/>
      <c r="Q146" s="26">
        <f>'Walgreens National'!U146</f>
        <v>58240.973355381211</v>
      </c>
      <c r="R146" s="26">
        <f>Walmart!$H146</f>
        <v>33134.25</v>
      </c>
      <c r="S146" s="61">
        <f t="shared" si="2"/>
        <v>519041.22077219753</v>
      </c>
    </row>
    <row r="147" spans="1:19" x14ac:dyDescent="0.35">
      <c r="A147" s="3" t="s">
        <v>174</v>
      </c>
      <c r="B147" s="14" t="s">
        <v>174</v>
      </c>
      <c r="C147" s="26">
        <f>Allergan!$M147</f>
        <v>1212.79</v>
      </c>
      <c r="D147" s="26">
        <f>CVS!$P147</f>
        <v>3334.2</v>
      </c>
      <c r="E147" s="26">
        <f>Distributors!$Z147</f>
        <v>10764.150268617967</v>
      </c>
      <c r="F147" s="26">
        <f>Janssen!$S147</f>
        <v>2530.2486887595555</v>
      </c>
      <c r="G147" s="26">
        <v>0</v>
      </c>
      <c r="H147" s="26">
        <f>Kroger!P147</f>
        <v>1373.1670740126319</v>
      </c>
      <c r="I147" s="26">
        <v>0</v>
      </c>
      <c r="J147" s="26">
        <v>0</v>
      </c>
      <c r="K147" s="26">
        <f>Masters!C147</f>
        <v>0</v>
      </c>
      <c r="L147" s="62">
        <v>0</v>
      </c>
      <c r="M147" s="26">
        <v>0</v>
      </c>
      <c r="N147" s="26">
        <v>0</v>
      </c>
      <c r="O147" s="26">
        <f>Teva!$S147</f>
        <v>1947.2192870353142</v>
      </c>
      <c r="P147" s="26"/>
      <c r="Q147" s="26">
        <f>'Walgreens National'!U147</f>
        <v>5388.8477346623586</v>
      </c>
      <c r="R147" s="26">
        <f>Walmart!$H147</f>
        <v>1575.5</v>
      </c>
      <c r="S147" s="61">
        <f t="shared" si="2"/>
        <v>28126.123053087827</v>
      </c>
    </row>
    <row r="148" spans="1:19" x14ac:dyDescent="0.35">
      <c r="A148" s="3" t="s">
        <v>175</v>
      </c>
      <c r="B148" s="14" t="s">
        <v>175</v>
      </c>
      <c r="C148" s="26">
        <f>Allergan!$M148</f>
        <v>23886.990232791282</v>
      </c>
      <c r="D148" s="26">
        <f>CVS!$P148</f>
        <v>51411.421463323553</v>
      </c>
      <c r="E148" s="26">
        <f>Distributors!$Z148</f>
        <v>231080.53103688711</v>
      </c>
      <c r="F148" s="26">
        <f>Janssen!$S148</f>
        <v>53331.536931285154</v>
      </c>
      <c r="G148" s="26">
        <v>0</v>
      </c>
      <c r="H148" s="26">
        <f>Kroger!P148</f>
        <v>14778.257760778073</v>
      </c>
      <c r="I148" s="26">
        <v>0</v>
      </c>
      <c r="J148" s="26">
        <v>0</v>
      </c>
      <c r="K148" s="26">
        <f>Masters!C148</f>
        <v>0</v>
      </c>
      <c r="L148" s="62">
        <v>0</v>
      </c>
      <c r="M148" s="26">
        <v>0</v>
      </c>
      <c r="N148" s="26">
        <v>0</v>
      </c>
      <c r="O148" s="26">
        <f>Teva!$S148</f>
        <v>39026.041377700851</v>
      </c>
      <c r="P148" s="26"/>
      <c r="Q148" s="26">
        <f>'Walgreens National'!U148</f>
        <v>55862.063190292603</v>
      </c>
      <c r="R148" s="26">
        <f>Walmart!$H148</f>
        <v>31780.85</v>
      </c>
      <c r="S148" s="61">
        <f t="shared" si="2"/>
        <v>501157.69199305866</v>
      </c>
    </row>
    <row r="149" spans="1:19" x14ac:dyDescent="0.35">
      <c r="A149" s="3" t="s">
        <v>176</v>
      </c>
      <c r="B149" s="14" t="s">
        <v>177</v>
      </c>
      <c r="C149" s="26">
        <f>Allergan!$M149</f>
        <v>174081.07791891927</v>
      </c>
      <c r="D149" s="26">
        <f>CVS!$P149</f>
        <v>374670.6498942395</v>
      </c>
      <c r="E149" s="26">
        <f>Distributors!$Z149</f>
        <v>1744188.3248609067</v>
      </c>
      <c r="F149" s="26">
        <f>Janssen!$S149</f>
        <v>402544.70083118166</v>
      </c>
      <c r="G149" s="26">
        <v>0</v>
      </c>
      <c r="H149" s="26">
        <f>Kroger!P149</f>
        <v>107699.40010608954</v>
      </c>
      <c r="I149" s="26">
        <v>0</v>
      </c>
      <c r="J149" s="26">
        <v>0</v>
      </c>
      <c r="K149" s="26">
        <f>Masters!C149</f>
        <v>0</v>
      </c>
      <c r="L149" s="62">
        <v>0</v>
      </c>
      <c r="M149" s="26">
        <v>0</v>
      </c>
      <c r="N149" s="26">
        <v>0</v>
      </c>
      <c r="O149" s="26">
        <f>Teva!$S149</f>
        <v>284409.83175265999</v>
      </c>
      <c r="P149" s="26"/>
      <c r="Q149" s="26">
        <f>'Walgreens National'!U149</f>
        <v>407105.56397238694</v>
      </c>
      <c r="R149" s="26">
        <f>Walmart!$H149</f>
        <v>231609.13</v>
      </c>
      <c r="S149" s="61">
        <f t="shared" si="2"/>
        <v>3726308.6793363835</v>
      </c>
    </row>
    <row r="150" spans="1:19" x14ac:dyDescent="0.35">
      <c r="A150" s="3" t="s">
        <v>178</v>
      </c>
      <c r="B150" s="14" t="s">
        <v>178</v>
      </c>
      <c r="C150" s="26">
        <f>Allergan!$M150</f>
        <v>138526.42675405144</v>
      </c>
      <c r="D150" s="26">
        <f>CVS!$P150</f>
        <v>298147.20180743543</v>
      </c>
      <c r="E150" s="26">
        <f>Distributors!$Z150</f>
        <v>1259209.6573054516</v>
      </c>
      <c r="F150" s="26">
        <f>Janssen!$S150</f>
        <v>295994.21808418212</v>
      </c>
      <c r="G150" s="26">
        <v>0</v>
      </c>
      <c r="H150" s="26">
        <f>Kroger!P150</f>
        <v>160635.61675312422</v>
      </c>
      <c r="I150" s="26">
        <v>0</v>
      </c>
      <c r="J150" s="26">
        <v>0</v>
      </c>
      <c r="K150" s="26">
        <f>Masters!C150</f>
        <v>0</v>
      </c>
      <c r="L150" s="62">
        <v>0</v>
      </c>
      <c r="M150" s="26">
        <v>0</v>
      </c>
      <c r="N150" s="26">
        <v>0</v>
      </c>
      <c r="O150" s="26">
        <f>Teva!$S150</f>
        <v>226321.4244372338</v>
      </c>
      <c r="P150" s="26"/>
      <c r="Q150" s="26">
        <f>'Walgreens National'!U150</f>
        <v>323957.5487575134</v>
      </c>
      <c r="R150" s="26">
        <f>Walmart!$H150</f>
        <v>184304.83000000002</v>
      </c>
      <c r="S150" s="61">
        <f t="shared" si="2"/>
        <v>2887096.9238989921</v>
      </c>
    </row>
    <row r="151" spans="1:19" x14ac:dyDescent="0.35">
      <c r="A151" s="3" t="s">
        <v>179</v>
      </c>
      <c r="B151" s="14" t="s">
        <v>179</v>
      </c>
      <c r="C151" s="26">
        <f>Allergan!$M151</f>
        <v>40581.332922980691</v>
      </c>
      <c r="D151" s="26">
        <f>CVS!$P151</f>
        <v>87342.27055955476</v>
      </c>
      <c r="E151" s="26">
        <f>Distributors!$Z151</f>
        <v>392579.99608426203</v>
      </c>
      <c r="F151" s="26">
        <f>Janssen!$S151</f>
        <v>90604.32189708417</v>
      </c>
      <c r="G151" s="26">
        <v>0</v>
      </c>
      <c r="H151" s="26">
        <f>Kroger!P151</f>
        <v>25106.607922873129</v>
      </c>
      <c r="I151" s="26">
        <v>0</v>
      </c>
      <c r="J151" s="26">
        <v>0</v>
      </c>
      <c r="K151" s="26">
        <f>Masters!C151</f>
        <v>0</v>
      </c>
      <c r="L151" s="62">
        <v>0</v>
      </c>
      <c r="M151" s="26">
        <v>0</v>
      </c>
      <c r="N151" s="26">
        <v>0</v>
      </c>
      <c r="O151" s="26">
        <f>Teva!$S151</f>
        <v>66300.890683940204</v>
      </c>
      <c r="P151" s="26"/>
      <c r="Q151" s="26">
        <f>'Walgreens National'!U151</f>
        <v>94903.404537069277</v>
      </c>
      <c r="R151" s="26">
        <f>Walmart!$H151</f>
        <v>53992.12</v>
      </c>
      <c r="S151" s="61">
        <f t="shared" si="2"/>
        <v>851410.94460776425</v>
      </c>
    </row>
    <row r="152" spans="1:19" x14ac:dyDescent="0.35">
      <c r="A152" s="3" t="s">
        <v>16</v>
      </c>
      <c r="B152" s="14" t="s">
        <v>16</v>
      </c>
      <c r="C152" s="26">
        <f>Allergan!$M152</f>
        <v>258380.24458456185</v>
      </c>
      <c r="D152" s="26">
        <f>CVS!$P152</f>
        <v>556105.7675900727</v>
      </c>
      <c r="E152" s="26">
        <f>Distributors!$Z152</f>
        <v>2499545.9981393293</v>
      </c>
      <c r="F152" s="26">
        <f>Janssen!$S152</f>
        <v>576875.21337388689</v>
      </c>
      <c r="G152" s="26">
        <v>0</v>
      </c>
      <c r="H152" s="26">
        <f>Kroger!P152</f>
        <v>159853.08148585167</v>
      </c>
      <c r="I152" s="26">
        <v>0</v>
      </c>
      <c r="J152" s="26">
        <v>0</v>
      </c>
      <c r="K152" s="26">
        <f>Masters!C152</f>
        <v>162.41999999999999</v>
      </c>
      <c r="L152" s="62">
        <v>0</v>
      </c>
      <c r="M152" s="26">
        <v>0</v>
      </c>
      <c r="N152" s="26">
        <v>0</v>
      </c>
      <c r="O152" s="26">
        <f>Teva!$S152</f>
        <v>422135.94719413185</v>
      </c>
      <c r="P152" s="26"/>
      <c r="Q152" s="26">
        <f>'Walgreens National'!U152</f>
        <v>604247.36874519929</v>
      </c>
      <c r="R152" s="26">
        <f>Walmart!$H152</f>
        <v>343766.37</v>
      </c>
      <c r="S152" s="61">
        <f t="shared" si="2"/>
        <v>5421072.4111130331</v>
      </c>
    </row>
    <row r="153" spans="1:19" x14ac:dyDescent="0.35">
      <c r="A153" s="3" t="s">
        <v>75</v>
      </c>
      <c r="B153" s="14" t="s">
        <v>180</v>
      </c>
      <c r="C153" s="26">
        <f>Allergan!$M153</f>
        <v>0</v>
      </c>
      <c r="D153" s="26">
        <f>CVS!$P153</f>
        <v>0</v>
      </c>
      <c r="E153" s="26">
        <f>Distributors!$Z153</f>
        <v>0</v>
      </c>
      <c r="F153" s="26">
        <f>Janssen!$S153</f>
        <v>0</v>
      </c>
      <c r="G153" s="26">
        <v>0</v>
      </c>
      <c r="H153" s="26">
        <f>Kroger!P153</f>
        <v>2270.8212666251329</v>
      </c>
      <c r="I153" s="26">
        <v>0</v>
      </c>
      <c r="J153" s="26">
        <v>0</v>
      </c>
      <c r="K153" s="26">
        <f>Masters!C153</f>
        <v>0</v>
      </c>
      <c r="L153" s="62">
        <v>0</v>
      </c>
      <c r="M153" s="26">
        <v>0</v>
      </c>
      <c r="N153" s="26">
        <v>0</v>
      </c>
      <c r="O153" s="26">
        <f>Teva!$S153</f>
        <v>0</v>
      </c>
      <c r="P153" s="26"/>
      <c r="Q153" s="26">
        <f>'Walgreens National'!U153</f>
        <v>4071.1346581375747</v>
      </c>
      <c r="R153" s="26">
        <f>Walmart!$H153</f>
        <v>0</v>
      </c>
      <c r="S153" s="61">
        <f t="shared" si="2"/>
        <v>6341.9559247627076</v>
      </c>
    </row>
    <row r="154" spans="1:19" x14ac:dyDescent="0.35">
      <c r="A154" s="3" t="s">
        <v>55</v>
      </c>
      <c r="B154" s="14" t="s">
        <v>181</v>
      </c>
      <c r="C154" s="26">
        <f>Allergan!$M154</f>
        <v>1629.43</v>
      </c>
      <c r="D154" s="26">
        <f>CVS!$P154</f>
        <v>435.91</v>
      </c>
      <c r="E154" s="26">
        <f>Distributors!$Z154</f>
        <v>14462.010957647983</v>
      </c>
      <c r="F154" s="26">
        <f>Janssen!$S154</f>
        <v>3399.5048094411168</v>
      </c>
      <c r="G154" s="26">
        <v>0</v>
      </c>
      <c r="H154" s="26">
        <f>Kroger!P154</f>
        <v>1844.8971746368832</v>
      </c>
      <c r="I154" s="26">
        <v>0</v>
      </c>
      <c r="J154" s="26">
        <v>0</v>
      </c>
      <c r="K154" s="26">
        <f>Masters!C154</f>
        <v>0</v>
      </c>
      <c r="L154" s="62">
        <v>0</v>
      </c>
      <c r="M154" s="26">
        <v>0</v>
      </c>
      <c r="N154" s="26">
        <v>0</v>
      </c>
      <c r="O154" s="26">
        <f>Teva!$S154</f>
        <v>2616.1560592566684</v>
      </c>
      <c r="P154" s="26"/>
      <c r="Q154" s="26">
        <f>'Walgreens National'!U154</f>
        <v>7240.106765994271</v>
      </c>
      <c r="R154" s="26">
        <f>Walmart!$H154</f>
        <v>2116.7399999999998</v>
      </c>
      <c r="S154" s="61">
        <f t="shared" si="2"/>
        <v>33744.755766976923</v>
      </c>
    </row>
    <row r="155" spans="1:19" x14ac:dyDescent="0.35">
      <c r="A155" s="3" t="s">
        <v>47</v>
      </c>
      <c r="B155" s="14" t="s">
        <v>182</v>
      </c>
      <c r="C155" s="26">
        <f>Allergan!$M155</f>
        <v>3122.9375726396715</v>
      </c>
      <c r="D155" s="26">
        <f>CVS!$P155</f>
        <v>6721.4202763103322</v>
      </c>
      <c r="E155" s="26">
        <f>Distributors!$Z155</f>
        <v>28387.572044547189</v>
      </c>
      <c r="F155" s="26">
        <f>Janssen!$S155</f>
        <v>6672.8800294721668</v>
      </c>
      <c r="G155" s="26">
        <v>0</v>
      </c>
      <c r="H155" s="26">
        <f>Kroger!P155</f>
        <v>3621.3638277915338</v>
      </c>
      <c r="I155" s="26">
        <v>0</v>
      </c>
      <c r="J155" s="26">
        <v>0</v>
      </c>
      <c r="K155" s="26">
        <f>Masters!C155</f>
        <v>0</v>
      </c>
      <c r="L155" s="62">
        <v>0</v>
      </c>
      <c r="M155" s="26">
        <v>0</v>
      </c>
      <c r="N155" s="26">
        <v>0</v>
      </c>
      <c r="O155" s="26">
        <f>Teva!$S155</f>
        <v>5102.1796764034734</v>
      </c>
      <c r="P155" s="26"/>
      <c r="Q155" s="26">
        <f>'Walgreens National'!U155</f>
        <v>7303.2911034877761</v>
      </c>
      <c r="R155" s="26">
        <f>Walmart!$H155</f>
        <v>4154.96</v>
      </c>
      <c r="S155" s="61">
        <f t="shared" si="2"/>
        <v>65086.604530652134</v>
      </c>
    </row>
    <row r="156" spans="1:19" x14ac:dyDescent="0.35">
      <c r="A156" s="3" t="s">
        <v>22</v>
      </c>
      <c r="B156" s="14" t="s">
        <v>183</v>
      </c>
      <c r="C156" s="26">
        <f>Allergan!$M156</f>
        <v>27799.986181553206</v>
      </c>
      <c r="D156" s="26">
        <f>CVS!$P156</f>
        <v>59833.278904940504</v>
      </c>
      <c r="E156" s="26">
        <f>Distributors!$Z156</f>
        <v>252702.79454560752</v>
      </c>
      <c r="F156" s="26">
        <f>Janssen!$S156</f>
        <v>59401.20174528331</v>
      </c>
      <c r="G156" s="26">
        <v>0</v>
      </c>
      <c r="H156" s="26">
        <f>Kroger!P156</f>
        <v>32236.943436759175</v>
      </c>
      <c r="I156" s="26">
        <v>0</v>
      </c>
      <c r="J156" s="26">
        <v>0</v>
      </c>
      <c r="K156" s="26">
        <f>Masters!C156</f>
        <v>0</v>
      </c>
      <c r="L156" s="62">
        <v>0</v>
      </c>
      <c r="M156" s="26">
        <v>0</v>
      </c>
      <c r="N156" s="26">
        <v>0</v>
      </c>
      <c r="O156" s="26">
        <f>Teva!$S156</f>
        <v>45419.013136625967</v>
      </c>
      <c r="P156" s="26"/>
      <c r="Q156" s="26">
        <f>'Walgreens National'!U156</f>
        <v>65012.981506181924</v>
      </c>
      <c r="R156" s="26">
        <f>Walmart!$H156</f>
        <v>36986.959999999999</v>
      </c>
      <c r="S156" s="61">
        <f t="shared" si="2"/>
        <v>579393.15945695154</v>
      </c>
    </row>
    <row r="157" spans="1:19" x14ac:dyDescent="0.35">
      <c r="A157" s="3" t="s">
        <v>60</v>
      </c>
      <c r="B157" s="14" t="s">
        <v>60</v>
      </c>
      <c r="C157" s="26">
        <f>Allergan!$M157</f>
        <v>438568.91085883329</v>
      </c>
      <c r="D157" s="26">
        <f>CVS!$P157</f>
        <v>943923.29323440907</v>
      </c>
      <c r="E157" s="26">
        <f>Distributors!$Z157</f>
        <v>4090938.5556611265</v>
      </c>
      <c r="F157" s="26">
        <f>Janssen!$S157</f>
        <v>944155.87264296378</v>
      </c>
      <c r="G157" s="26">
        <v>0</v>
      </c>
      <c r="H157" s="26">
        <f>Kroger!P157</f>
        <v>271317.0597732219</v>
      </c>
      <c r="I157" s="26">
        <v>0</v>
      </c>
      <c r="J157" s="26">
        <v>0</v>
      </c>
      <c r="K157" s="26">
        <f>Masters!C157</f>
        <v>0</v>
      </c>
      <c r="L157" s="62">
        <v>0</v>
      </c>
      <c r="M157" s="26">
        <v>0</v>
      </c>
      <c r="N157" s="26">
        <v>0</v>
      </c>
      <c r="O157" s="26">
        <f>Teva!$S157</f>
        <v>716487.17364524002</v>
      </c>
      <c r="P157" s="26"/>
      <c r="Q157" s="26">
        <f>'Walgreens National'!U157</f>
        <v>1026005.3217488364</v>
      </c>
      <c r="R157" s="26">
        <f>Walmart!$H157</f>
        <v>583471.29</v>
      </c>
      <c r="S157" s="61">
        <f t="shared" si="2"/>
        <v>9014867.4775646329</v>
      </c>
    </row>
    <row r="158" spans="1:19" x14ac:dyDescent="0.35">
      <c r="A158" s="3" t="s">
        <v>22</v>
      </c>
      <c r="B158" s="14" t="s">
        <v>184</v>
      </c>
      <c r="C158" s="26">
        <f>Allergan!$M158</f>
        <v>131176.75067116771</v>
      </c>
      <c r="D158" s="26">
        <f>CVS!$P158</f>
        <v>282328.68076044513</v>
      </c>
      <c r="E158" s="26">
        <f>Distributors!$Z158</f>
        <v>1268991.5488108706</v>
      </c>
      <c r="F158" s="26">
        <f>Janssen!$S158</f>
        <v>292873.07773312659</v>
      </c>
      <c r="G158" s="26">
        <v>0</v>
      </c>
      <c r="H158" s="26">
        <f>Kroger!P158</f>
        <v>81155.621111816421</v>
      </c>
      <c r="I158" s="26">
        <v>0</v>
      </c>
      <c r="J158" s="26">
        <v>0</v>
      </c>
      <c r="K158" s="26">
        <f>Masters!C158</f>
        <v>0</v>
      </c>
      <c r="L158" s="62">
        <v>0</v>
      </c>
      <c r="M158" s="26">
        <f>Meijer!D11</f>
        <v>29976.629999999997</v>
      </c>
      <c r="N158" s="26">
        <v>0</v>
      </c>
      <c r="O158" s="26">
        <f>Teva!$S158</f>
        <v>214313.69194055861</v>
      </c>
      <c r="P158" s="26"/>
      <c r="Q158" s="26">
        <f>'Walgreens National'!U158</f>
        <v>306769.62173563766</v>
      </c>
      <c r="R158" s="26">
        <f>Walmart!$H158</f>
        <v>174526.34999999998</v>
      </c>
      <c r="S158" s="61">
        <f t="shared" si="2"/>
        <v>2782111.9727636222</v>
      </c>
    </row>
    <row r="159" spans="1:19" x14ac:dyDescent="0.35">
      <c r="A159" s="3" t="s">
        <v>185</v>
      </c>
      <c r="B159" s="14" t="s">
        <v>185</v>
      </c>
      <c r="C159" s="26">
        <f>Allergan!$M159</f>
        <v>20940.811084437912</v>
      </c>
      <c r="D159" s="26">
        <f>CVS!$P159</f>
        <v>45070.418052757668</v>
      </c>
      <c r="E159" s="26">
        <f>Distributors!$Z159</f>
        <v>202579.41318353181</v>
      </c>
      <c r="F159" s="26">
        <f>Janssen!$S159</f>
        <v>46753.700363444084</v>
      </c>
      <c r="G159" s="26">
        <v>0</v>
      </c>
      <c r="H159" s="26">
        <f>Kroger!P159</f>
        <v>12955.529444695661</v>
      </c>
      <c r="I159" s="26">
        <v>0</v>
      </c>
      <c r="J159" s="26">
        <v>0</v>
      </c>
      <c r="K159" s="26">
        <f>Masters!C159</f>
        <v>0</v>
      </c>
      <c r="L159" s="62">
        <v>0</v>
      </c>
      <c r="M159" s="26">
        <v>0</v>
      </c>
      <c r="N159" s="26">
        <v>0</v>
      </c>
      <c r="O159" s="26">
        <f>Teva!$S159</f>
        <v>34212.634849385897</v>
      </c>
      <c r="P159" s="26"/>
      <c r="Q159" s="26">
        <f>'Walgreens National'!U159</f>
        <v>48972.111646736994</v>
      </c>
      <c r="R159" s="26">
        <f>Walmart!$H159</f>
        <v>27861.06</v>
      </c>
      <c r="S159" s="61">
        <f t="shared" si="2"/>
        <v>439345.67862499005</v>
      </c>
    </row>
    <row r="160" spans="1:19" x14ac:dyDescent="0.35">
      <c r="A160" s="3" t="s">
        <v>34</v>
      </c>
      <c r="B160" s="14" t="s">
        <v>186</v>
      </c>
      <c r="C160" s="26">
        <f>Allergan!$M160</f>
        <v>1080.3699999999999</v>
      </c>
      <c r="D160" s="26">
        <f>CVS!$P160</f>
        <v>2221.4</v>
      </c>
      <c r="E160" s="26">
        <f>Distributors!$Z160</f>
        <v>9588.8239228722159</v>
      </c>
      <c r="F160" s="26">
        <f>Janssen!$S160</f>
        <v>2253.9890794249823</v>
      </c>
      <c r="G160" s="26">
        <v>0</v>
      </c>
      <c r="H160" s="26">
        <f>Kroger!P160</f>
        <v>1223.2331537927228</v>
      </c>
      <c r="I160" s="26">
        <v>0</v>
      </c>
      <c r="J160" s="26">
        <v>0</v>
      </c>
      <c r="K160" s="26">
        <f>Masters!C160</f>
        <v>0</v>
      </c>
      <c r="L160" s="62">
        <v>0</v>
      </c>
      <c r="M160" s="26">
        <v>0</v>
      </c>
      <c r="N160" s="26">
        <v>0</v>
      </c>
      <c r="O160" s="26">
        <f>Teva!$S160</f>
        <v>1734.6055222878965</v>
      </c>
      <c r="P160" s="26"/>
      <c r="Q160" s="26">
        <f>'Walgreens National'!U160</f>
        <v>4800.4557870987437</v>
      </c>
      <c r="R160" s="26">
        <f>Walmart!$H160</f>
        <v>1403.47</v>
      </c>
      <c r="S160" s="61">
        <f t="shared" si="2"/>
        <v>24306.347465476563</v>
      </c>
    </row>
    <row r="161" spans="1:19" x14ac:dyDescent="0.35">
      <c r="A161" s="3" t="s">
        <v>187</v>
      </c>
      <c r="B161" s="14" t="s">
        <v>187</v>
      </c>
      <c r="C161" s="26">
        <f>Allergan!$M161</f>
        <v>15914.590712251482</v>
      </c>
      <c r="D161" s="26">
        <f>CVS!$P161</f>
        <v>34252.613285914296</v>
      </c>
      <c r="E161" s="26">
        <f>Distributors!$Z161</f>
        <v>144664.15768571221</v>
      </c>
      <c r="F161" s="26">
        <f>Janssen!$S161</f>
        <v>34005.259208350479</v>
      </c>
      <c r="G161" s="26">
        <v>0</v>
      </c>
      <c r="H161" s="26">
        <f>Kroger!P161</f>
        <v>18454.606118543776</v>
      </c>
      <c r="I161" s="26">
        <v>0</v>
      </c>
      <c r="J161" s="26">
        <v>0</v>
      </c>
      <c r="K161" s="26">
        <f>Masters!C161</f>
        <v>0</v>
      </c>
      <c r="L161" s="62">
        <v>0</v>
      </c>
      <c r="M161" s="26">
        <v>0</v>
      </c>
      <c r="N161" s="26">
        <v>0</v>
      </c>
      <c r="O161" s="26">
        <f>Teva!$S161</f>
        <v>26000.914078986596</v>
      </c>
      <c r="P161" s="26"/>
      <c r="Q161" s="26">
        <f>'Walgreens National'!U161</f>
        <v>37217.828977988022</v>
      </c>
      <c r="R161" s="26">
        <f>Walmart!$H161</f>
        <v>21173.85</v>
      </c>
      <c r="S161" s="61">
        <f t="shared" si="2"/>
        <v>331683.82006774686</v>
      </c>
    </row>
    <row r="162" spans="1:19" x14ac:dyDescent="0.35">
      <c r="A162" s="3" t="s">
        <v>75</v>
      </c>
      <c r="B162" s="14" t="s">
        <v>75</v>
      </c>
      <c r="C162" s="26">
        <f>Allergan!$M162</f>
        <v>2535241.0308707342</v>
      </c>
      <c r="D162" s="26">
        <f>CVS!$P162</f>
        <v>5456685.0077053569</v>
      </c>
      <c r="E162" s="26">
        <f>Distributors!$Z162</f>
        <v>25384502.468713835</v>
      </c>
      <c r="F162" s="26">
        <f>Janssen!$S162</f>
        <v>5857847.9912108555</v>
      </c>
      <c r="G162" s="26">
        <v>0</v>
      </c>
      <c r="H162" s="26">
        <f>Kroger!P162</f>
        <v>1567246.3583339767</v>
      </c>
      <c r="I162" s="26">
        <v>0</v>
      </c>
      <c r="J162" s="26">
        <f>Mallinckrodt!E14</f>
        <v>990634.95</v>
      </c>
      <c r="K162" s="26">
        <f>Masters!C162</f>
        <v>34563.06</v>
      </c>
      <c r="L162" s="62">
        <v>0</v>
      </c>
      <c r="M162" s="26">
        <v>0</v>
      </c>
      <c r="N162" s="26">
        <v>0</v>
      </c>
      <c r="O162" s="26">
        <f>Teva!$S162</f>
        <v>4138744.2317364626</v>
      </c>
      <c r="P162" s="26"/>
      <c r="Q162" s="26">
        <f>'Walgreens National'!U162</f>
        <v>5929058.324770458</v>
      </c>
      <c r="R162" s="26">
        <f>Walmart!$H162</f>
        <v>3372991.5</v>
      </c>
      <c r="S162" s="61">
        <f t="shared" si="2"/>
        <v>55267514.923341684</v>
      </c>
    </row>
    <row r="163" spans="1:19" x14ac:dyDescent="0.35">
      <c r="A163" s="3" t="s">
        <v>75</v>
      </c>
      <c r="B163" s="14" t="s">
        <v>188</v>
      </c>
      <c r="C163" s="26">
        <f>Allergan!$M163</f>
        <v>18931.052671881305</v>
      </c>
      <c r="D163" s="26">
        <f>CVS!$P163</f>
        <v>40744.87666469728</v>
      </c>
      <c r="E163" s="26">
        <f>Distributors!$Z163</f>
        <v>172083.90864111402</v>
      </c>
      <c r="F163" s="26">
        <f>Janssen!$S163</f>
        <v>40450.65427017185</v>
      </c>
      <c r="G163" s="26">
        <v>0</v>
      </c>
      <c r="H163" s="26">
        <f>Kroger!P163</f>
        <v>21952.504250843092</v>
      </c>
      <c r="I163" s="26">
        <v>0</v>
      </c>
      <c r="J163" s="26">
        <v>0</v>
      </c>
      <c r="K163" s="26">
        <f>Masters!C163</f>
        <v>0</v>
      </c>
      <c r="L163" s="62">
        <v>0</v>
      </c>
      <c r="M163" s="26">
        <v>0</v>
      </c>
      <c r="N163" s="26">
        <v>0</v>
      </c>
      <c r="O163" s="26">
        <f>Teva!$S163</f>
        <v>30929.13985924828</v>
      </c>
      <c r="P163" s="26"/>
      <c r="Q163" s="26">
        <f>'Walgreens National'!U163</f>
        <v>44272.120440534454</v>
      </c>
      <c r="R163" s="26">
        <f>Walmart!$H163</f>
        <v>25187.14</v>
      </c>
      <c r="S163" s="61">
        <f t="shared" si="2"/>
        <v>394551.39679849026</v>
      </c>
    </row>
    <row r="164" spans="1:19" x14ac:dyDescent="0.35">
      <c r="A164" s="3" t="s">
        <v>34</v>
      </c>
      <c r="B164" s="14" t="s">
        <v>189</v>
      </c>
      <c r="C164" s="26">
        <f>Allergan!$M164</f>
        <v>25252.024258661593</v>
      </c>
      <c r="D164" s="26">
        <f>CVS!$P164</f>
        <v>54349.357429110052</v>
      </c>
      <c r="E164" s="26">
        <f>Distributors!$Z164</f>
        <v>229541.74075829537</v>
      </c>
      <c r="F164" s="26">
        <f>Janssen!$S164</f>
        <v>53956.886912395668</v>
      </c>
      <c r="G164" s="26">
        <v>0</v>
      </c>
      <c r="H164" s="26">
        <f>Kroger!P164</f>
        <v>29282.319581135089</v>
      </c>
      <c r="I164" s="26">
        <v>0</v>
      </c>
      <c r="J164" s="26">
        <v>0</v>
      </c>
      <c r="K164" s="26">
        <f>Masters!C164</f>
        <v>0</v>
      </c>
      <c r="L164" s="62">
        <v>0</v>
      </c>
      <c r="M164" s="26">
        <v>0</v>
      </c>
      <c r="N164" s="26">
        <v>0</v>
      </c>
      <c r="O164" s="26">
        <f>Teva!$S164</f>
        <v>41256.207484781502</v>
      </c>
      <c r="P164" s="26"/>
      <c r="Q164" s="26">
        <f>'Walgreens National'!U164</f>
        <v>59054.333672005421</v>
      </c>
      <c r="R164" s="26">
        <f>Walmart!$H164</f>
        <v>33596.99</v>
      </c>
      <c r="S164" s="61">
        <f t="shared" si="2"/>
        <v>526289.86009638477</v>
      </c>
    </row>
    <row r="165" spans="1:19" x14ac:dyDescent="0.35">
      <c r="A165" s="3" t="s">
        <v>190</v>
      </c>
      <c r="B165" s="14" t="s">
        <v>190</v>
      </c>
      <c r="C165" s="26">
        <f>Allergan!$M165</f>
        <v>102355.0684203328</v>
      </c>
      <c r="D165" s="26">
        <f>CVS!$P165</f>
        <v>220296.42949449041</v>
      </c>
      <c r="E165" s="26">
        <f>Distributors!$Z165</f>
        <v>990173.25001269323</v>
      </c>
      <c r="F165" s="26">
        <f>Janssen!$S165</f>
        <v>228524.06430181485</v>
      </c>
      <c r="G165" s="26">
        <v>0</v>
      </c>
      <c r="H165" s="26">
        <f>Kroger!P165</f>
        <v>63324.397401150847</v>
      </c>
      <c r="I165" s="26">
        <v>0</v>
      </c>
      <c r="J165" s="26">
        <v>0</v>
      </c>
      <c r="K165" s="26">
        <f>Masters!C165</f>
        <v>0</v>
      </c>
      <c r="L165" s="62">
        <v>0</v>
      </c>
      <c r="M165" s="26">
        <v>0</v>
      </c>
      <c r="N165" s="26">
        <v>0</v>
      </c>
      <c r="O165" s="26">
        <f>Teva!$S165</f>
        <v>167225.4533144926</v>
      </c>
      <c r="P165" s="26"/>
      <c r="Q165" s="26">
        <f>'Walgreens National'!U165</f>
        <v>239367.29086394657</v>
      </c>
      <c r="R165" s="26">
        <f>Walmart!$H165</f>
        <v>136180.03999999998</v>
      </c>
      <c r="S165" s="61">
        <f t="shared" si="2"/>
        <v>2147445.9938089214</v>
      </c>
    </row>
    <row r="166" spans="1:19" x14ac:dyDescent="0.35">
      <c r="A166" s="3" t="s">
        <v>60</v>
      </c>
      <c r="B166" s="14" t="s">
        <v>191</v>
      </c>
      <c r="C166" s="26">
        <f>Allergan!$M166</f>
        <v>35.64</v>
      </c>
      <c r="D166" s="26">
        <f>CVS!$P166</f>
        <v>765.61</v>
      </c>
      <c r="E166" s="26">
        <f>Distributors!$Z166</f>
        <v>298.48</v>
      </c>
      <c r="F166" s="26">
        <f>Janssen!$S166</f>
        <v>78.87</v>
      </c>
      <c r="G166" s="26">
        <v>0</v>
      </c>
      <c r="H166" s="26">
        <f>Kroger!P166</f>
        <v>40.348363044364092</v>
      </c>
      <c r="I166" s="26">
        <v>0</v>
      </c>
      <c r="J166" s="26">
        <v>0</v>
      </c>
      <c r="K166" s="26">
        <f>Masters!C166</f>
        <v>0</v>
      </c>
      <c r="L166" s="62">
        <v>0</v>
      </c>
      <c r="M166" s="26">
        <v>0</v>
      </c>
      <c r="N166" s="26">
        <v>0</v>
      </c>
      <c r="O166" s="26">
        <f>Teva!$S166</f>
        <v>57.2159879210488</v>
      </c>
      <c r="P166" s="26"/>
      <c r="Q166" s="26">
        <f>'Walgreens National'!U166</f>
        <v>158.34665705146165</v>
      </c>
      <c r="R166" s="26">
        <f>Walmart!$H166</f>
        <v>46.3</v>
      </c>
      <c r="S166" s="61">
        <f t="shared" si="2"/>
        <v>1480.8110080168742</v>
      </c>
    </row>
    <row r="167" spans="1:19" x14ac:dyDescent="0.35">
      <c r="A167" s="3" t="s">
        <v>192</v>
      </c>
      <c r="B167" s="14" t="s">
        <v>193</v>
      </c>
      <c r="C167" s="26">
        <f>Allergan!$M167</f>
        <v>5485.0345928623246</v>
      </c>
      <c r="D167" s="26">
        <f>CVS!$P167</f>
        <v>11805.315916528911</v>
      </c>
      <c r="E167" s="26">
        <f>Distributors!$Z167</f>
        <v>49859.174302801825</v>
      </c>
      <c r="F167" s="26">
        <f>Janssen!$S167</f>
        <v>11720.065264604536</v>
      </c>
      <c r="G167" s="26">
        <v>0</v>
      </c>
      <c r="H167" s="26">
        <f>Kroger!P167</f>
        <v>6360.4650701012306</v>
      </c>
      <c r="I167" s="26">
        <v>0</v>
      </c>
      <c r="J167" s="26">
        <v>0</v>
      </c>
      <c r="K167" s="26">
        <f>Masters!C167</f>
        <v>0</v>
      </c>
      <c r="L167" s="62">
        <v>0</v>
      </c>
      <c r="M167" s="26">
        <v>0</v>
      </c>
      <c r="N167" s="26">
        <v>0</v>
      </c>
      <c r="O167" s="26">
        <f>Teva!$S167</f>
        <v>8961.3329560605271</v>
      </c>
      <c r="P167" s="26"/>
      <c r="Q167" s="26">
        <f>'Walgreens National'!U167</f>
        <v>12827.299399406793</v>
      </c>
      <c r="R167" s="26">
        <f>Walmart!$H167</f>
        <v>7297.66</v>
      </c>
      <c r="S167" s="61">
        <f t="shared" si="2"/>
        <v>114316.34750236614</v>
      </c>
    </row>
    <row r="168" spans="1:19" x14ac:dyDescent="0.35">
      <c r="A168" s="3" t="s">
        <v>192</v>
      </c>
      <c r="B168" s="14" t="s">
        <v>192</v>
      </c>
      <c r="C168" s="26">
        <f>Allergan!$M168</f>
        <v>176726.2215218714</v>
      </c>
      <c r="D168" s="26">
        <f>CVS!$P168</f>
        <v>380363.73403045005</v>
      </c>
      <c r="E168" s="26">
        <f>Distributors!$Z168</f>
        <v>1709632.7501439564</v>
      </c>
      <c r="F168" s="26">
        <f>Janssen!$S168</f>
        <v>394569.55122909253</v>
      </c>
      <c r="G168" s="26">
        <v>0</v>
      </c>
      <c r="H168" s="26">
        <f>Kroger!P168</f>
        <v>109335.88110506866</v>
      </c>
      <c r="I168" s="26">
        <v>0</v>
      </c>
      <c r="J168" s="26">
        <v>0</v>
      </c>
      <c r="K168" s="26">
        <f>Masters!C168</f>
        <v>0</v>
      </c>
      <c r="L168" s="62">
        <v>0</v>
      </c>
      <c r="M168" s="26">
        <v>0</v>
      </c>
      <c r="N168" s="26">
        <v>0</v>
      </c>
      <c r="O168" s="26">
        <f>Teva!$S168</f>
        <v>288731.40800370136</v>
      </c>
      <c r="P168" s="26"/>
      <c r="Q168" s="26">
        <f>'Walgreens National'!U168</f>
        <v>413291.48583783256</v>
      </c>
      <c r="R168" s="26">
        <f>Walmart!$H168</f>
        <v>235128.4</v>
      </c>
      <c r="S168" s="61">
        <f t="shared" si="2"/>
        <v>3707779.431871973</v>
      </c>
    </row>
    <row r="169" spans="1:19" x14ac:dyDescent="0.35">
      <c r="A169" s="3" t="s">
        <v>194</v>
      </c>
      <c r="B169" s="14" t="s">
        <v>194</v>
      </c>
      <c r="C169" s="26">
        <f>Allergan!$M169</f>
        <v>81573.541991691702</v>
      </c>
      <c r="D169" s="26">
        <f>CVS!$P169</f>
        <v>175568.82390913149</v>
      </c>
      <c r="E169" s="26">
        <f>Distributors!$Z169</f>
        <v>789134.68893487181</v>
      </c>
      <c r="F169" s="26">
        <f>Janssen!$S169</f>
        <v>182125.96709535157</v>
      </c>
      <c r="G169" s="26">
        <v>0</v>
      </c>
      <c r="H169" s="26">
        <f>Kroger!P169</f>
        <v>50467.409076098127</v>
      </c>
      <c r="I169" s="26">
        <v>0</v>
      </c>
      <c r="J169" s="26">
        <v>0</v>
      </c>
      <c r="K169" s="26">
        <f>Masters!C169</f>
        <v>2192.6799999999998</v>
      </c>
      <c r="L169" s="62">
        <v>0</v>
      </c>
      <c r="M169" s="26">
        <v>0</v>
      </c>
      <c r="N169" s="26">
        <v>0</v>
      </c>
      <c r="O169" s="26">
        <f>Teva!$S169</f>
        <v>133273.05110881952</v>
      </c>
      <c r="P169" s="26"/>
      <c r="Q169" s="26">
        <f>'Walgreens National'!U169</f>
        <v>190767.66843275097</v>
      </c>
      <c r="R169" s="26">
        <f>Walmart!$H169</f>
        <v>108530.89</v>
      </c>
      <c r="S169" s="61">
        <f t="shared" si="2"/>
        <v>1713634.720548715</v>
      </c>
    </row>
    <row r="170" spans="1:19" x14ac:dyDescent="0.35">
      <c r="A170" s="3" t="s">
        <v>52</v>
      </c>
      <c r="B170" s="14" t="s">
        <v>52</v>
      </c>
      <c r="C170" s="26">
        <f>Allergan!$M170</f>
        <v>58115.215976407679</v>
      </c>
      <c r="D170" s="26">
        <f>CVS!$P170</f>
        <v>125080.01434865344</v>
      </c>
      <c r="E170" s="26">
        <f>Distributors!$Z170</f>
        <v>528269.13182992034</v>
      </c>
      <c r="F170" s="26">
        <f>Janssen!$S170</f>
        <v>124176.78734152985</v>
      </c>
      <c r="G170" s="26">
        <v>0</v>
      </c>
      <c r="H170" s="26">
        <f>Kroger!P170</f>
        <v>67390.555986652864</v>
      </c>
      <c r="I170" s="26">
        <v>0</v>
      </c>
      <c r="J170" s="26">
        <v>0</v>
      </c>
      <c r="K170" s="26">
        <f>Masters!C170</f>
        <v>0</v>
      </c>
      <c r="L170" s="62">
        <v>0</v>
      </c>
      <c r="M170" s="26">
        <v>0</v>
      </c>
      <c r="N170" s="26">
        <v>0</v>
      </c>
      <c r="O170" s="26">
        <f>Teva!$S170</f>
        <v>94947.353812195986</v>
      </c>
      <c r="P170" s="26"/>
      <c r="Q170" s="26">
        <f>'Walgreens National'!U170</f>
        <v>135908.08547905111</v>
      </c>
      <c r="R170" s="26">
        <f>Walmart!$H170</f>
        <v>77320.37</v>
      </c>
      <c r="S170" s="61">
        <f t="shared" si="2"/>
        <v>1211207.5147744115</v>
      </c>
    </row>
    <row r="171" spans="1:19" x14ac:dyDescent="0.35">
      <c r="A171" s="3" t="s">
        <v>22</v>
      </c>
      <c r="B171" s="14" t="s">
        <v>195</v>
      </c>
      <c r="C171" s="26">
        <f>Allergan!$M171</f>
        <v>9093.3824857429863</v>
      </c>
      <c r="D171" s="26">
        <f>CVS!$P171</f>
        <v>19571.486565355157</v>
      </c>
      <c r="E171" s="26">
        <f>Distributors!$Z171</f>
        <v>82659.176740168958</v>
      </c>
      <c r="F171" s="26">
        <f>Janssen!$S171</f>
        <v>19430.152770343841</v>
      </c>
      <c r="G171" s="26">
        <v>0</v>
      </c>
      <c r="H171" s="26">
        <f>Kroger!P171</f>
        <v>10544.715300627024</v>
      </c>
      <c r="I171" s="26">
        <v>0</v>
      </c>
      <c r="J171" s="26">
        <v>0</v>
      </c>
      <c r="K171" s="26">
        <f>Masters!C171</f>
        <v>0</v>
      </c>
      <c r="L171" s="62">
        <v>0</v>
      </c>
      <c r="M171" s="26">
        <v>0</v>
      </c>
      <c r="N171" s="26">
        <v>0</v>
      </c>
      <c r="O171" s="26">
        <f>Teva!$S171</f>
        <v>14856.577131980241</v>
      </c>
      <c r="P171" s="26"/>
      <c r="Q171" s="26">
        <f>'Walgreens National'!U171</f>
        <v>21265.764805198716</v>
      </c>
      <c r="R171" s="26">
        <f>Walmart!$H171</f>
        <v>12098.45</v>
      </c>
      <c r="S171" s="61">
        <f t="shared" si="2"/>
        <v>189519.70579941693</v>
      </c>
    </row>
    <row r="172" spans="1:19" x14ac:dyDescent="0.35">
      <c r="A172" s="3" t="s">
        <v>196</v>
      </c>
      <c r="B172" s="14" t="s">
        <v>196</v>
      </c>
      <c r="C172" s="26">
        <f>Allergan!$M172</f>
        <v>27649.099168886725</v>
      </c>
      <c r="D172" s="26">
        <f>CVS!$P172</f>
        <v>59508.517001220316</v>
      </c>
      <c r="E172" s="26">
        <f>Distributors!$Z172</f>
        <v>251331.23062466094</v>
      </c>
      <c r="F172" s="26">
        <f>Janssen!$S172</f>
        <v>59078.793007189226</v>
      </c>
      <c r="G172" s="26">
        <v>0</v>
      </c>
      <c r="H172" s="26">
        <f>Kroger!P172</f>
        <v>32061.9722293042</v>
      </c>
      <c r="I172" s="26">
        <v>0</v>
      </c>
      <c r="J172" s="26">
        <v>0</v>
      </c>
      <c r="K172" s="26">
        <f>Masters!C172</f>
        <v>0</v>
      </c>
      <c r="L172" s="62">
        <v>0</v>
      </c>
      <c r="M172" s="26">
        <v>0</v>
      </c>
      <c r="N172" s="26">
        <v>0</v>
      </c>
      <c r="O172" s="26">
        <f>Teva!$S172</f>
        <v>45172.495539460579</v>
      </c>
      <c r="P172" s="26"/>
      <c r="Q172" s="26">
        <f>'Walgreens National'!U172</f>
        <v>64660.122640697227</v>
      </c>
      <c r="R172" s="26">
        <f>Walmart!$H172</f>
        <v>36786.21</v>
      </c>
      <c r="S172" s="61">
        <f t="shared" si="2"/>
        <v>576248.44021141925</v>
      </c>
    </row>
    <row r="173" spans="1:19" x14ac:dyDescent="0.35">
      <c r="A173" s="3" t="s">
        <v>90</v>
      </c>
      <c r="B173" s="14" t="s">
        <v>197</v>
      </c>
      <c r="C173" s="26">
        <f>Allergan!$M173</f>
        <v>12388.662590637214</v>
      </c>
      <c r="D173" s="26">
        <f>CVS!$P173</f>
        <v>26663.840019916948</v>
      </c>
      <c r="E173" s="26">
        <f>Distributors!$Z173</f>
        <v>112613.36278535845</v>
      </c>
      <c r="F173" s="26">
        <f>Janssen!$S173</f>
        <v>26471.281707720478</v>
      </c>
      <c r="G173" s="26">
        <v>0</v>
      </c>
      <c r="H173" s="26">
        <f>Kroger!P173</f>
        <v>14365.931531535087</v>
      </c>
      <c r="I173" s="26">
        <v>0</v>
      </c>
      <c r="J173" s="26">
        <v>0</v>
      </c>
      <c r="K173" s="26">
        <f>Masters!C173</f>
        <v>0</v>
      </c>
      <c r="L173" s="62">
        <v>0</v>
      </c>
      <c r="M173" s="26">
        <v>0</v>
      </c>
      <c r="N173" s="26">
        <v>0</v>
      </c>
      <c r="O173" s="26">
        <f>Teva!$S173</f>
        <v>20240.331179160898</v>
      </c>
      <c r="P173" s="26"/>
      <c r="Q173" s="26">
        <f>'Walgreens National'!U173</f>
        <v>28972.101850686791</v>
      </c>
      <c r="R173" s="26">
        <f>Walmart!$H173</f>
        <v>16482.71</v>
      </c>
      <c r="S173" s="61">
        <f t="shared" si="2"/>
        <v>258198.22166501585</v>
      </c>
    </row>
    <row r="174" spans="1:19" x14ac:dyDescent="0.35">
      <c r="A174" s="3" t="s">
        <v>198</v>
      </c>
      <c r="B174" s="14" t="s">
        <v>199</v>
      </c>
      <c r="C174" s="26">
        <f>Allergan!$M174</f>
        <v>52896.003412951119</v>
      </c>
      <c r="D174" s="26">
        <f>CVS!$P174</f>
        <v>113846.85510305321</v>
      </c>
      <c r="E174" s="26">
        <f>Distributors!$Z174</f>
        <v>480826.44697890844</v>
      </c>
      <c r="F174" s="26">
        <f>Janssen!$S174</f>
        <v>113024.73776810287</v>
      </c>
      <c r="G174" s="26">
        <v>0</v>
      </c>
      <c r="H174" s="26">
        <f>Kroger!P174</f>
        <v>61338.357327713966</v>
      </c>
      <c r="I174" s="26">
        <v>0</v>
      </c>
      <c r="J174" s="26">
        <v>0</v>
      </c>
      <c r="K174" s="26">
        <f>Masters!C174</f>
        <v>0</v>
      </c>
      <c r="L174" s="62">
        <v>0</v>
      </c>
      <c r="M174" s="26">
        <v>0</v>
      </c>
      <c r="N174" s="26">
        <v>0</v>
      </c>
      <c r="O174" s="26">
        <f>Teva!$S174</f>
        <v>86420.340203339467</v>
      </c>
      <c r="P174" s="26"/>
      <c r="Q174" s="26">
        <f>'Walgreens National'!U174</f>
        <v>123702.47695563117</v>
      </c>
      <c r="R174" s="26">
        <f>Walmart!$H174</f>
        <v>70376.399999999994</v>
      </c>
      <c r="S174" s="61">
        <f t="shared" si="2"/>
        <v>1102431.6177497003</v>
      </c>
    </row>
    <row r="175" spans="1:19" x14ac:dyDescent="0.35">
      <c r="A175" s="3" t="s">
        <v>200</v>
      </c>
      <c r="B175" s="14" t="s">
        <v>200</v>
      </c>
      <c r="C175" s="26">
        <f>Allergan!$M175</f>
        <v>94218.521962202154</v>
      </c>
      <c r="D175" s="26">
        <f>CVS!$P175</f>
        <v>202784.34099061074</v>
      </c>
      <c r="E175" s="26">
        <f>Distributors!$Z175</f>
        <v>856449.37952106667</v>
      </c>
      <c r="F175" s="26">
        <f>Janssen!$S175</f>
        <v>201319.97659677232</v>
      </c>
      <c r="G175" s="26">
        <v>0</v>
      </c>
      <c r="H175" s="26">
        <f>Kroger!P175</f>
        <v>109256.05153635271</v>
      </c>
      <c r="I175" s="26">
        <v>0</v>
      </c>
      <c r="J175" s="26">
        <v>0</v>
      </c>
      <c r="K175" s="26">
        <f>Masters!C175</f>
        <v>0</v>
      </c>
      <c r="L175" s="62">
        <v>0</v>
      </c>
      <c r="M175" s="26">
        <v>0</v>
      </c>
      <c r="N175" s="26">
        <v>0</v>
      </c>
      <c r="O175" s="26">
        <f>Teva!$S175</f>
        <v>153932.14274017682</v>
      </c>
      <c r="P175" s="26"/>
      <c r="Q175" s="26">
        <f>'Walgreens National'!U175</f>
        <v>220339.20188930869</v>
      </c>
      <c r="R175" s="26">
        <f>Walmart!$H175</f>
        <v>125354.63</v>
      </c>
      <c r="S175" s="61">
        <f t="shared" si="2"/>
        <v>1963654.2452364899</v>
      </c>
    </row>
    <row r="176" spans="1:19" x14ac:dyDescent="0.35">
      <c r="A176" s="3" t="s">
        <v>34</v>
      </c>
      <c r="B176" s="14" t="s">
        <v>201</v>
      </c>
      <c r="C176" s="26">
        <f>Allergan!$M176</f>
        <v>1151.8399999999999</v>
      </c>
      <c r="D176" s="26">
        <f>CVS!$P176</f>
        <v>2449.21</v>
      </c>
      <c r="E176" s="26">
        <f>Distributors!$Z176</f>
        <v>10223.177638073785</v>
      </c>
      <c r="F176" s="26">
        <f>Janssen!$S176</f>
        <v>2403.0975009061713</v>
      </c>
      <c r="G176" s="26">
        <v>0</v>
      </c>
      <c r="H176" s="26">
        <f>Kroger!P176</f>
        <v>1304.1547142407585</v>
      </c>
      <c r="I176" s="26">
        <v>0</v>
      </c>
      <c r="J176" s="26">
        <v>0</v>
      </c>
      <c r="K176" s="26">
        <f>Masters!C176</f>
        <v>0</v>
      </c>
      <c r="L176" s="62">
        <v>0</v>
      </c>
      <c r="M176" s="26">
        <v>0</v>
      </c>
      <c r="N176" s="26">
        <v>0</v>
      </c>
      <c r="O176" s="26">
        <f>Teva!$S176</f>
        <v>1849.3563244469935</v>
      </c>
      <c r="P176" s="26"/>
      <c r="Q176" s="26">
        <f>'Walgreens National'!U176</f>
        <v>5118.0221848639403</v>
      </c>
      <c r="R176" s="26">
        <f>Walmart!$H176</f>
        <v>1496.32</v>
      </c>
      <c r="S176" s="61">
        <f t="shared" si="2"/>
        <v>25995.178362531653</v>
      </c>
    </row>
    <row r="177" spans="1:19" x14ac:dyDescent="0.35">
      <c r="A177" s="3" t="s">
        <v>202</v>
      </c>
      <c r="B177" s="14" t="s">
        <v>202</v>
      </c>
      <c r="C177" s="26">
        <f>Allergan!$M177</f>
        <v>17546.700121695634</v>
      </c>
      <c r="D177" s="26">
        <f>CVS!$P177</f>
        <v>37765.36179013738</v>
      </c>
      <c r="E177" s="26">
        <f>Distributors!$Z177</f>
        <v>159500.0915928403</v>
      </c>
      <c r="F177" s="26">
        <f>Janssen!$S177</f>
        <v>37492.639551168526</v>
      </c>
      <c r="G177" s="26">
        <v>0</v>
      </c>
      <c r="H177" s="26">
        <f>Kroger!P177</f>
        <v>20347.204313983602</v>
      </c>
      <c r="I177" s="26">
        <v>0</v>
      </c>
      <c r="J177" s="26">
        <v>0</v>
      </c>
      <c r="K177" s="26">
        <f>Masters!C177</f>
        <v>0</v>
      </c>
      <c r="L177" s="62">
        <v>0</v>
      </c>
      <c r="M177" s="26">
        <v>0</v>
      </c>
      <c r="N177" s="26">
        <v>0</v>
      </c>
      <c r="O177" s="26">
        <f>Teva!$S177</f>
        <v>28667.417556699867</v>
      </c>
      <c r="P177" s="26"/>
      <c r="Q177" s="26">
        <f>'Walgreens National'!U177</f>
        <v>41034.684266233933</v>
      </c>
      <c r="R177" s="26">
        <f>Walmart!$H177</f>
        <v>23345.309999999998</v>
      </c>
      <c r="S177" s="61">
        <f t="shared" si="2"/>
        <v>365699.40919275925</v>
      </c>
    </row>
    <row r="178" spans="1:19" x14ac:dyDescent="0.35">
      <c r="A178" s="3" t="s">
        <v>36</v>
      </c>
      <c r="B178" s="14" t="s">
        <v>203</v>
      </c>
      <c r="C178" s="26">
        <f>Allergan!$M178</f>
        <v>0</v>
      </c>
      <c r="D178" s="26">
        <f>CVS!$P178</f>
        <v>0</v>
      </c>
      <c r="E178" s="26">
        <f>Distributors!$Z178</f>
        <v>0</v>
      </c>
      <c r="F178" s="26">
        <f>Janssen!$S178</f>
        <v>0</v>
      </c>
      <c r="G178" s="26">
        <v>0</v>
      </c>
      <c r="H178" s="26">
        <f>Kroger!P178</f>
        <v>896.30885896085431</v>
      </c>
      <c r="I178" s="26">
        <v>0</v>
      </c>
      <c r="J178" s="26">
        <v>0</v>
      </c>
      <c r="K178" s="26">
        <f>Masters!C178</f>
        <v>0</v>
      </c>
      <c r="L178" s="62">
        <v>0</v>
      </c>
      <c r="M178" s="26">
        <v>0</v>
      </c>
      <c r="N178" s="26">
        <v>0</v>
      </c>
      <c r="O178" s="26">
        <f>Teva!$S178</f>
        <v>0</v>
      </c>
      <c r="P178" s="26"/>
      <c r="Q178" s="26">
        <f>'Walgreens National'!U178</f>
        <v>1606.9050055772855</v>
      </c>
      <c r="R178" s="26">
        <f>Walmart!$H178</f>
        <v>0</v>
      </c>
      <c r="S178" s="61">
        <f t="shared" si="2"/>
        <v>2503.2138645381397</v>
      </c>
    </row>
    <row r="179" spans="1:19" x14ac:dyDescent="0.35">
      <c r="A179" s="3" t="s">
        <v>45</v>
      </c>
      <c r="B179" s="14" t="s">
        <v>204</v>
      </c>
      <c r="C179" s="26">
        <f>Allergan!$M179</f>
        <v>2145.59</v>
      </c>
      <c r="D179" s="26">
        <f>CVS!$P179</f>
        <v>5133.63</v>
      </c>
      <c r="E179" s="26">
        <f>Distributors!$Z179</f>
        <v>19043.221634813086</v>
      </c>
      <c r="F179" s="26">
        <f>Janssen!$S179</f>
        <v>4476.3638911626977</v>
      </c>
      <c r="G179" s="26">
        <v>0</v>
      </c>
      <c r="H179" s="26">
        <f>Kroger!P179</f>
        <v>2429.3159158745534</v>
      </c>
      <c r="I179" s="26">
        <v>0</v>
      </c>
      <c r="J179" s="26">
        <v>0</v>
      </c>
      <c r="K179" s="26">
        <f>Masters!C179</f>
        <v>0</v>
      </c>
      <c r="L179" s="62">
        <v>0</v>
      </c>
      <c r="M179" s="26">
        <v>0</v>
      </c>
      <c r="N179" s="26">
        <v>0</v>
      </c>
      <c r="O179" s="26">
        <f>Teva!$S179</f>
        <v>3444.8909351355983</v>
      </c>
      <c r="P179" s="26"/>
      <c r="Q179" s="26">
        <f>'Walgreens National'!U179</f>
        <v>4355.2843044228757</v>
      </c>
      <c r="R179" s="26">
        <f>Walmart!$H179</f>
        <v>2787.27</v>
      </c>
      <c r="S179" s="61">
        <f t="shared" si="2"/>
        <v>43815.566681408811</v>
      </c>
    </row>
    <row r="180" spans="1:19" x14ac:dyDescent="0.35">
      <c r="A180" s="3" t="s">
        <v>45</v>
      </c>
      <c r="B180" s="14" t="s">
        <v>205</v>
      </c>
      <c r="C180" s="26">
        <f>Allergan!$M180</f>
        <v>36778.538447257059</v>
      </c>
      <c r="D180" s="26">
        <f>CVS!$P180</f>
        <v>79157.583323157087</v>
      </c>
      <c r="E180" s="26">
        <f>Distributors!$Z180</f>
        <v>334318.0572657563</v>
      </c>
      <c r="F180" s="26">
        <f>Janssen!$S180</f>
        <v>78585.967638096961</v>
      </c>
      <c r="G180" s="26">
        <v>0</v>
      </c>
      <c r="H180" s="26">
        <f>Kroger!P180</f>
        <v>42648.486491554228</v>
      </c>
      <c r="I180" s="26">
        <v>0</v>
      </c>
      <c r="J180" s="26">
        <v>0</v>
      </c>
      <c r="K180" s="26">
        <f>Masters!C180</f>
        <v>0</v>
      </c>
      <c r="L180" s="62">
        <v>0</v>
      </c>
      <c r="M180" s="26">
        <v>0</v>
      </c>
      <c r="N180" s="26">
        <v>0</v>
      </c>
      <c r="O180" s="26">
        <f>Teva!$S180</f>
        <v>60087.959358190812</v>
      </c>
      <c r="P180" s="26"/>
      <c r="Q180" s="26">
        <f>'Walgreens National'!U180</f>
        <v>86010.184740098091</v>
      </c>
      <c r="R180" s="26">
        <f>Walmart!$H180</f>
        <v>48932.63</v>
      </c>
      <c r="S180" s="61">
        <f t="shared" si="2"/>
        <v>766519.40726411052</v>
      </c>
    </row>
    <row r="181" spans="1:19" x14ac:dyDescent="0.35">
      <c r="A181" s="3" t="s">
        <v>45</v>
      </c>
      <c r="B181" s="14" t="s">
        <v>45</v>
      </c>
      <c r="C181" s="26">
        <f>Allergan!$M181</f>
        <v>502318.7184789998</v>
      </c>
      <c r="D181" s="26">
        <f>CVS!$P181</f>
        <v>1081128.8922030728</v>
      </c>
      <c r="E181" s="26">
        <f>Distributors!$Z181</f>
        <v>5032933.2343708826</v>
      </c>
      <c r="F181" s="26">
        <f>Janssen!$S181</f>
        <v>1161560.7142282303</v>
      </c>
      <c r="G181" s="26">
        <v>0</v>
      </c>
      <c r="H181" s="26">
        <f>Kroger!P181</f>
        <v>310771.42733191961</v>
      </c>
      <c r="I181" s="26">
        <v>0</v>
      </c>
      <c r="J181" s="26">
        <v>0</v>
      </c>
      <c r="K181" s="26">
        <f>Masters!C181</f>
        <v>0</v>
      </c>
      <c r="L181" s="62">
        <v>0</v>
      </c>
      <c r="M181" s="26">
        <v>0</v>
      </c>
      <c r="N181" s="26">
        <v>0</v>
      </c>
      <c r="O181" s="26">
        <f>Teva!$S181</f>
        <v>820677.26247239159</v>
      </c>
      <c r="P181" s="26"/>
      <c r="Q181" s="26">
        <f>'Walgreens National'!U181</f>
        <v>1179899.6001122657</v>
      </c>
      <c r="R181" s="26">
        <f>Walmart!$H181</f>
        <v>668318.47</v>
      </c>
      <c r="S181" s="61">
        <f t="shared" si="2"/>
        <v>10757608.319197763</v>
      </c>
    </row>
    <row r="182" spans="1:19" x14ac:dyDescent="0.35">
      <c r="A182" s="3" t="s">
        <v>206</v>
      </c>
      <c r="B182" s="14" t="s">
        <v>206</v>
      </c>
      <c r="C182" s="26">
        <f>Allergan!$M182</f>
        <v>203740.82501616175</v>
      </c>
      <c r="D182" s="26">
        <f>CVS!$P182</f>
        <v>438506.63360654865</v>
      </c>
      <c r="E182" s="26">
        <f>Distributors!$Z182</f>
        <v>1970969.4516291548</v>
      </c>
      <c r="F182" s="26">
        <f>Janssen!$S182</f>
        <v>454883.98018322268</v>
      </c>
      <c r="G182" s="26">
        <v>0</v>
      </c>
      <c r="H182" s="26">
        <f>Kroger!P182</f>
        <v>126049.10741180879</v>
      </c>
      <c r="I182" s="26">
        <v>0</v>
      </c>
      <c r="J182" s="26">
        <v>0</v>
      </c>
      <c r="K182" s="26">
        <f>Masters!C182</f>
        <v>966.4</v>
      </c>
      <c r="L182" s="62">
        <v>0</v>
      </c>
      <c r="M182" s="26">
        <v>0</v>
      </c>
      <c r="N182" s="26">
        <v>0</v>
      </c>
      <c r="O182" s="26">
        <f>Teva!$S182</f>
        <v>332867.26596609299</v>
      </c>
      <c r="P182" s="26"/>
      <c r="Q182" s="26">
        <f>'Walgreens National'!U182</f>
        <v>476467.76311465679</v>
      </c>
      <c r="R182" s="26">
        <f>Walmart!$H182</f>
        <v>271070.44</v>
      </c>
      <c r="S182" s="61">
        <f t="shared" si="2"/>
        <v>4275521.866927647</v>
      </c>
    </row>
    <row r="183" spans="1:19" x14ac:dyDescent="0.35">
      <c r="A183" s="3" t="s">
        <v>207</v>
      </c>
      <c r="B183" s="14" t="s">
        <v>207</v>
      </c>
      <c r="C183" s="26">
        <f>Allergan!$M183</f>
        <v>28867.814184678682</v>
      </c>
      <c r="D183" s="26">
        <f>CVS!$P183</f>
        <v>62131.545541435087</v>
      </c>
      <c r="E183" s="26">
        <f>Distributors!$Z183</f>
        <v>279264.57663007505</v>
      </c>
      <c r="F183" s="26">
        <f>Janssen!$S183</f>
        <v>64452.030449253172</v>
      </c>
      <c r="G183" s="26">
        <v>0</v>
      </c>
      <c r="H183" s="26">
        <f>Kroger!P183</f>
        <v>17859.764749517679</v>
      </c>
      <c r="I183" s="26">
        <v>0</v>
      </c>
      <c r="J183" s="26">
        <v>0</v>
      </c>
      <c r="K183" s="26">
        <f>Masters!C183</f>
        <v>0</v>
      </c>
      <c r="L183" s="62">
        <v>0</v>
      </c>
      <c r="M183" s="26">
        <v>0</v>
      </c>
      <c r="N183" s="26">
        <v>0</v>
      </c>
      <c r="O183" s="26">
        <f>Teva!$S183</f>
        <v>47163.615408001955</v>
      </c>
      <c r="P183" s="26"/>
      <c r="Q183" s="26">
        <f>'Walgreens National'!U183</f>
        <v>67510.207756452277</v>
      </c>
      <c r="R183" s="26">
        <f>Walmart!$H183</f>
        <v>38407.69</v>
      </c>
      <c r="S183" s="61">
        <f t="shared" si="2"/>
        <v>605657.24471941381</v>
      </c>
    </row>
    <row r="184" spans="1:19" x14ac:dyDescent="0.35">
      <c r="A184" s="3" t="s">
        <v>75</v>
      </c>
      <c r="B184" s="14" t="s">
        <v>208</v>
      </c>
      <c r="C184" s="26">
        <f>Allergan!$M184</f>
        <v>8801.2826348572653</v>
      </c>
      <c r="D184" s="26">
        <f>CVS!$P184</f>
        <v>18942.789064138484</v>
      </c>
      <c r="E184" s="26">
        <f>Distributors!$Z184</f>
        <v>80003.945783085364</v>
      </c>
      <c r="F184" s="26">
        <f>Janssen!$S184</f>
        <v>18805.998728613911</v>
      </c>
      <c r="G184" s="26">
        <v>0</v>
      </c>
      <c r="H184" s="26">
        <f>Kroger!P184</f>
        <v>10205.991107771608</v>
      </c>
      <c r="I184" s="26">
        <v>0</v>
      </c>
      <c r="J184" s="26">
        <v>0</v>
      </c>
      <c r="K184" s="26">
        <f>Masters!C184</f>
        <v>0</v>
      </c>
      <c r="L184" s="62">
        <v>0</v>
      </c>
      <c r="M184" s="26">
        <v>0</v>
      </c>
      <c r="N184" s="26">
        <v>0</v>
      </c>
      <c r="O184" s="26">
        <f>Teva!$S184</f>
        <v>14379.346350346586</v>
      </c>
      <c r="P184" s="26"/>
      <c r="Q184" s="26">
        <f>'Walgreens National'!U184</f>
        <v>20582.659133808898</v>
      </c>
      <c r="R184" s="26">
        <f>Walmart!$H184</f>
        <v>11709.82</v>
      </c>
      <c r="S184" s="61">
        <f t="shared" si="2"/>
        <v>183431.83280262208</v>
      </c>
    </row>
    <row r="185" spans="1:19" x14ac:dyDescent="0.35">
      <c r="A185" s="3" t="s">
        <v>63</v>
      </c>
      <c r="B185" s="14" t="s">
        <v>209</v>
      </c>
      <c r="C185" s="26">
        <f>Allergan!$M185</f>
        <v>4356.6534985702529</v>
      </c>
      <c r="D185" s="26">
        <f>CVS!$P185</f>
        <v>9376.7219092494433</v>
      </c>
      <c r="E185" s="26">
        <f>Distributors!$Z185</f>
        <v>39602.12818848771</v>
      </c>
      <c r="F185" s="26">
        <f>Janssen!$S185</f>
        <v>9309.0150127265588</v>
      </c>
      <c r="G185" s="26">
        <v>0</v>
      </c>
      <c r="H185" s="26">
        <f>Kroger!P185</f>
        <v>5051.9890966925996</v>
      </c>
      <c r="I185" s="26">
        <v>0</v>
      </c>
      <c r="J185" s="26">
        <v>0</v>
      </c>
      <c r="K185" s="26">
        <f>Masters!C185</f>
        <v>0</v>
      </c>
      <c r="L185" s="62">
        <v>0</v>
      </c>
      <c r="M185" s="26">
        <v>0</v>
      </c>
      <c r="N185" s="26">
        <v>0</v>
      </c>
      <c r="O185" s="26">
        <f>Teva!$S185</f>
        <v>7117.8122813067794</v>
      </c>
      <c r="P185" s="26"/>
      <c r="Q185" s="26">
        <f>'Walgreens National'!U185</f>
        <v>10188.460049134599</v>
      </c>
      <c r="R185" s="26">
        <f>Walmart!$H185</f>
        <v>5796.39</v>
      </c>
      <c r="S185" s="61">
        <f t="shared" si="2"/>
        <v>90799.17003616794</v>
      </c>
    </row>
    <row r="186" spans="1:19" x14ac:dyDescent="0.35">
      <c r="A186" s="3" t="s">
        <v>168</v>
      </c>
      <c r="B186" s="14" t="s">
        <v>210</v>
      </c>
      <c r="C186" s="26">
        <f>Allergan!$M186</f>
        <v>6260.1960175645318</v>
      </c>
      <c r="D186" s="26">
        <f>CVS!$P186</f>
        <v>13473.690339135954</v>
      </c>
      <c r="E186" s="26">
        <f>Distributors!$Z186</f>
        <v>56905.440761449048</v>
      </c>
      <c r="F186" s="26">
        <f>Janssen!$S186</f>
        <v>13376.392735789079</v>
      </c>
      <c r="G186" s="26">
        <v>0</v>
      </c>
      <c r="H186" s="26">
        <f>Kroger!P186</f>
        <v>7259.3488617578969</v>
      </c>
      <c r="I186" s="26">
        <v>0</v>
      </c>
      <c r="J186" s="26">
        <v>0</v>
      </c>
      <c r="K186" s="26">
        <f>Masters!C186</f>
        <v>0</v>
      </c>
      <c r="L186" s="62">
        <v>0</v>
      </c>
      <c r="M186" s="26">
        <v>0</v>
      </c>
      <c r="N186" s="26">
        <v>0</v>
      </c>
      <c r="O186" s="26">
        <f>Teva!$S186</f>
        <v>10227.781339883679</v>
      </c>
      <c r="P186" s="26"/>
      <c r="Q186" s="26">
        <f>'Walgreens National'!U186</f>
        <v>14640.100751455006</v>
      </c>
      <c r="R186" s="26">
        <f>Walmart!$H186</f>
        <v>8329</v>
      </c>
      <c r="S186" s="61">
        <f t="shared" si="2"/>
        <v>130471.95080703519</v>
      </c>
    </row>
    <row r="187" spans="1:19" x14ac:dyDescent="0.35">
      <c r="A187" s="3" t="s">
        <v>63</v>
      </c>
      <c r="B187" s="14" t="s">
        <v>211</v>
      </c>
      <c r="C187" s="26">
        <f>Allergan!$M187</f>
        <v>2638.5212300539424</v>
      </c>
      <c r="D187" s="26">
        <f>CVS!$P187</f>
        <v>5678.8269398191287</v>
      </c>
      <c r="E187" s="26">
        <f>Distributors!$Z187</f>
        <v>23984.235376364257</v>
      </c>
      <c r="F187" s="26">
        <f>Janssen!$S187</f>
        <v>5637.8120959869038</v>
      </c>
      <c r="G187" s="26">
        <v>0</v>
      </c>
      <c r="H187" s="26">
        <f>Kroger!P187</f>
        <v>3059.6346899717637</v>
      </c>
      <c r="I187" s="26">
        <v>0</v>
      </c>
      <c r="J187" s="26">
        <v>0</v>
      </c>
      <c r="K187" s="26">
        <f>Masters!C187</f>
        <v>0</v>
      </c>
      <c r="L187" s="62">
        <v>0</v>
      </c>
      <c r="M187" s="26">
        <v>0</v>
      </c>
      <c r="N187" s="26">
        <v>0</v>
      </c>
      <c r="O187" s="26">
        <f>Teva!$S187</f>
        <v>4310.7589803110341</v>
      </c>
      <c r="P187" s="26"/>
      <c r="Q187" s="26">
        <f>'Walgreens National'!U187</f>
        <v>6170.4415489285466</v>
      </c>
      <c r="R187" s="26">
        <f>Walmart!$H187</f>
        <v>3510.46</v>
      </c>
      <c r="S187" s="61">
        <f t="shared" si="2"/>
        <v>54990.690861435571</v>
      </c>
    </row>
    <row r="188" spans="1:19" x14ac:dyDescent="0.35">
      <c r="A188" s="3" t="s">
        <v>105</v>
      </c>
      <c r="B188" s="14" t="s">
        <v>212</v>
      </c>
      <c r="C188" s="26">
        <f>Allergan!$M188</f>
        <v>6314.2740033354203</v>
      </c>
      <c r="D188" s="26">
        <f>CVS!$P188</f>
        <v>13590.054005743934</v>
      </c>
      <c r="E188" s="26">
        <f>Distributors!$Z188</f>
        <v>57396.922003980304</v>
      </c>
      <c r="F188" s="26">
        <f>Janssen!$S188</f>
        <v>13491.913462528279</v>
      </c>
      <c r="G188" s="26">
        <v>0</v>
      </c>
      <c r="H188" s="26">
        <f>Kroger!P188</f>
        <v>7322.0436824134104</v>
      </c>
      <c r="I188" s="26">
        <v>0</v>
      </c>
      <c r="J188" s="26">
        <v>0</v>
      </c>
      <c r="K188" s="26">
        <f>Masters!C188</f>
        <v>0</v>
      </c>
      <c r="L188" s="62">
        <v>0</v>
      </c>
      <c r="M188" s="26">
        <v>0</v>
      </c>
      <c r="N188" s="26">
        <v>0</v>
      </c>
      <c r="O188" s="26">
        <f>Teva!$S188</f>
        <v>10316.111632405898</v>
      </c>
      <c r="P188" s="26"/>
      <c r="Q188" s="26">
        <f>'Walgreens National'!U188</f>
        <v>14766.540199622803</v>
      </c>
      <c r="R188" s="26">
        <f>Walmart!$H188</f>
        <v>8400.93</v>
      </c>
      <c r="S188" s="61">
        <f t="shared" si="2"/>
        <v>131598.78899003004</v>
      </c>
    </row>
    <row r="189" spans="1:19" x14ac:dyDescent="0.35">
      <c r="A189" s="3" t="s">
        <v>105</v>
      </c>
      <c r="B189" s="14" t="s">
        <v>213</v>
      </c>
      <c r="C189" s="26">
        <f>Allergan!$M189</f>
        <v>30588.770050412855</v>
      </c>
      <c r="D189" s="26">
        <f>CVS!$P189</f>
        <v>65835.493964588968</v>
      </c>
      <c r="E189" s="26">
        <f>Distributors!$Z189</f>
        <v>278052.89199569717</v>
      </c>
      <c r="F189" s="26">
        <f>Janssen!$S189</f>
        <v>65360.086254257752</v>
      </c>
      <c r="G189" s="26">
        <v>0</v>
      </c>
      <c r="H189" s="26">
        <f>Kroger!P189</f>
        <v>35470.818830491466</v>
      </c>
      <c r="I189" s="26">
        <v>0</v>
      </c>
      <c r="J189" s="26">
        <v>0</v>
      </c>
      <c r="K189" s="26">
        <f>Masters!C189</f>
        <v>0</v>
      </c>
      <c r="L189" s="62">
        <v>0</v>
      </c>
      <c r="M189" s="26">
        <v>0</v>
      </c>
      <c r="N189" s="26">
        <v>0</v>
      </c>
      <c r="O189" s="26">
        <f>Teva!$S189</f>
        <v>49975.254151568792</v>
      </c>
      <c r="P189" s="26"/>
      <c r="Q189" s="26">
        <f>'Walgreens National'!U189</f>
        <v>71534.812271547897</v>
      </c>
      <c r="R189" s="26">
        <f>Walmart!$H189</f>
        <v>40697.350000000006</v>
      </c>
      <c r="S189" s="61">
        <f t="shared" si="2"/>
        <v>637515.47751856479</v>
      </c>
    </row>
    <row r="190" spans="1:19" x14ac:dyDescent="0.35">
      <c r="A190" s="3" t="s">
        <v>105</v>
      </c>
      <c r="B190" s="14" t="s">
        <v>105</v>
      </c>
      <c r="C190" s="26">
        <f>Allergan!$M190</f>
        <v>559301.33111330378</v>
      </c>
      <c r="D190" s="26">
        <f>CVS!$P190</f>
        <v>1203771.2408916585</v>
      </c>
      <c r="E190" s="26">
        <f>Distributors!$Z190</f>
        <v>5410628.236607695</v>
      </c>
      <c r="F190" s="26">
        <f>Janssen!$S190</f>
        <v>1248729.6840991834</v>
      </c>
      <c r="G190" s="26">
        <v>0</v>
      </c>
      <c r="H190" s="26">
        <f>Kroger!P190</f>
        <v>346025.07816576486</v>
      </c>
      <c r="I190" s="26">
        <v>0</v>
      </c>
      <c r="J190" s="26">
        <v>0</v>
      </c>
      <c r="K190" s="26">
        <f>Masters!C190</f>
        <v>0</v>
      </c>
      <c r="L190" s="62">
        <v>0</v>
      </c>
      <c r="M190" s="26">
        <v>0</v>
      </c>
      <c r="N190" s="26">
        <v>0</v>
      </c>
      <c r="O190" s="26">
        <f>Teva!$S190</f>
        <v>913774.20421533426</v>
      </c>
      <c r="P190" s="26"/>
      <c r="Q190" s="26">
        <f>'Walgreens National'!U190</f>
        <v>1307980.6764964729</v>
      </c>
      <c r="R190" s="26">
        <f>Walmart!$H190</f>
        <v>744131.96</v>
      </c>
      <c r="S190" s="61">
        <f t="shared" si="2"/>
        <v>11734342.411589414</v>
      </c>
    </row>
    <row r="191" spans="1:19" x14ac:dyDescent="0.35">
      <c r="A191" s="3" t="s">
        <v>105</v>
      </c>
      <c r="B191" s="14" t="s">
        <v>214</v>
      </c>
      <c r="C191" s="26">
        <f>Allergan!$M191</f>
        <v>8756.6152284441359</v>
      </c>
      <c r="D191" s="26">
        <f>CVS!$P191</f>
        <v>18846.667265503831</v>
      </c>
      <c r="E191" s="26">
        <f>Distributors!$Z191</f>
        <v>79597.926887862384</v>
      </c>
      <c r="F191" s="26">
        <f>Janssen!$S191</f>
        <v>18710.570060911545</v>
      </c>
      <c r="G191" s="26">
        <v>0</v>
      </c>
      <c r="H191" s="26">
        <f>Kroger!P191</f>
        <v>10154.19625929014</v>
      </c>
      <c r="I191" s="26">
        <v>0</v>
      </c>
      <c r="J191" s="26">
        <v>0</v>
      </c>
      <c r="K191" s="26">
        <f>Masters!C191</f>
        <v>0</v>
      </c>
      <c r="L191" s="62">
        <v>0</v>
      </c>
      <c r="M191" s="26">
        <v>0</v>
      </c>
      <c r="N191" s="26">
        <v>0</v>
      </c>
      <c r="O191" s="26">
        <f>Teva!$S191</f>
        <v>14306.364171925838</v>
      </c>
      <c r="P191" s="26"/>
      <c r="Q191" s="26">
        <f>'Walgreens National'!U191</f>
        <v>20478.201185953203</v>
      </c>
      <c r="R191" s="26">
        <f>Walmart!$H191</f>
        <v>11650.39</v>
      </c>
      <c r="S191" s="61">
        <f t="shared" si="2"/>
        <v>182500.93105989107</v>
      </c>
    </row>
    <row r="192" spans="1:19" x14ac:dyDescent="0.35">
      <c r="A192" s="3" t="s">
        <v>75</v>
      </c>
      <c r="B192" s="14" t="s">
        <v>215</v>
      </c>
      <c r="C192" s="26">
        <f>Allergan!$M192</f>
        <v>8406.4978821799632</v>
      </c>
      <c r="D192" s="26">
        <f>CVS!$P192</f>
        <v>18093.099472446607</v>
      </c>
      <c r="E192" s="26">
        <f>Distributors!$Z192</f>
        <v>76415.282699212723</v>
      </c>
      <c r="F192" s="26">
        <f>Janssen!$S192</f>
        <v>17962.441855903762</v>
      </c>
      <c r="G192" s="26">
        <v>0</v>
      </c>
      <c r="H192" s="26">
        <f>Kroger!P192</f>
        <v>9748.1915865990504</v>
      </c>
      <c r="I192" s="26">
        <v>0</v>
      </c>
      <c r="J192" s="26">
        <v>0</v>
      </c>
      <c r="K192" s="26">
        <f>Masters!C192</f>
        <v>0</v>
      </c>
      <c r="L192" s="62">
        <v>0</v>
      </c>
      <c r="M192" s="26">
        <v>0</v>
      </c>
      <c r="N192" s="26">
        <v>0</v>
      </c>
      <c r="O192" s="26">
        <f>Teva!$S192</f>
        <v>13734.344655684316</v>
      </c>
      <c r="P192" s="26"/>
      <c r="Q192" s="26">
        <f>'Walgreens National'!U192</f>
        <v>19659.394883912788</v>
      </c>
      <c r="R192" s="26">
        <f>Walmart!$H192</f>
        <v>11184.560000000001</v>
      </c>
      <c r="S192" s="61">
        <f t="shared" si="2"/>
        <v>175203.81303593921</v>
      </c>
    </row>
    <row r="193" spans="1:19" x14ac:dyDescent="0.35">
      <c r="A193" s="3" t="s">
        <v>216</v>
      </c>
      <c r="B193" s="14" t="s">
        <v>216</v>
      </c>
      <c r="C193" s="26">
        <f>Allergan!$M193</f>
        <v>153199.08657979523</v>
      </c>
      <c r="D193" s="26">
        <f>CVS!$P193</f>
        <v>329726.82523689483</v>
      </c>
      <c r="E193" s="26">
        <f>Distributors!$Z193</f>
        <v>1482033.4623455671</v>
      </c>
      <c r="F193" s="26">
        <f>Janssen!$S193</f>
        <v>342041.46323613951</v>
      </c>
      <c r="G193" s="26">
        <v>0</v>
      </c>
      <c r="H193" s="26">
        <f>Kroger!P193</f>
        <v>94780.25941562868</v>
      </c>
      <c r="I193" s="26">
        <v>0</v>
      </c>
      <c r="J193" s="26">
        <v>0</v>
      </c>
      <c r="K193" s="26">
        <f>Masters!C193</f>
        <v>3004.78</v>
      </c>
      <c r="L193" s="62">
        <v>0</v>
      </c>
      <c r="M193" s="26">
        <v>0</v>
      </c>
      <c r="N193" s="26">
        <v>0</v>
      </c>
      <c r="O193" s="26">
        <f>Teva!$S193</f>
        <v>250293.29467608192</v>
      </c>
      <c r="P193" s="26"/>
      <c r="Q193" s="26">
        <f>'Walgreens National'!U193</f>
        <v>358271.00000716967</v>
      </c>
      <c r="R193" s="26">
        <f>Walmart!$H193</f>
        <v>203826.33000000002</v>
      </c>
      <c r="S193" s="61">
        <f t="shared" si="2"/>
        <v>3217176.5014972771</v>
      </c>
    </row>
    <row r="194" spans="1:19" x14ac:dyDescent="0.35">
      <c r="A194" s="3" t="s">
        <v>217</v>
      </c>
      <c r="B194" s="14" t="s">
        <v>218</v>
      </c>
      <c r="C194" s="26">
        <f>Allergan!$M194</f>
        <v>10206.479525105653</v>
      </c>
      <c r="D194" s="26">
        <f>CVS!$P194</f>
        <v>21967.16717205412</v>
      </c>
      <c r="E194" s="26">
        <f>Distributors!$Z194</f>
        <v>92777.262452458905</v>
      </c>
      <c r="F194" s="26">
        <f>Janssen!$S194</f>
        <v>21808.549653833728</v>
      </c>
      <c r="G194" s="26">
        <v>0</v>
      </c>
      <c r="H194" s="26">
        <f>Kroger!P194</f>
        <v>11835.463426692066</v>
      </c>
      <c r="I194" s="26">
        <v>0</v>
      </c>
      <c r="J194" s="26">
        <v>0</v>
      </c>
      <c r="K194" s="26">
        <f>Masters!C194</f>
        <v>0</v>
      </c>
      <c r="L194" s="62">
        <v>0</v>
      </c>
      <c r="M194" s="26">
        <v>0</v>
      </c>
      <c r="N194" s="26">
        <v>0</v>
      </c>
      <c r="O194" s="26">
        <f>Teva!$S194</f>
        <v>16675.128236507368</v>
      </c>
      <c r="P194" s="26"/>
      <c r="Q194" s="26">
        <f>'Walgreens National'!U194</f>
        <v>23868.85162163815</v>
      </c>
      <c r="R194" s="26">
        <f>Walmart!$H194</f>
        <v>13579.38</v>
      </c>
      <c r="S194" s="61">
        <f t="shared" si="2"/>
        <v>212718.28208828997</v>
      </c>
    </row>
    <row r="195" spans="1:19" x14ac:dyDescent="0.35">
      <c r="A195" s="3" t="s">
        <v>47</v>
      </c>
      <c r="B195" s="14" t="s">
        <v>219</v>
      </c>
      <c r="C195" s="26">
        <f>Allergan!$M195</f>
        <v>2657.9774997149179</v>
      </c>
      <c r="D195" s="26">
        <f>CVS!$P195</f>
        <v>7200.3121220595367</v>
      </c>
      <c r="E195" s="26">
        <f>Distributors!$Z195</f>
        <v>0</v>
      </c>
      <c r="F195" s="26">
        <f>Janssen!$S195</f>
        <v>0</v>
      </c>
      <c r="G195" s="26">
        <v>0</v>
      </c>
      <c r="H195" s="26">
        <f>Kroger!P195</f>
        <v>4369.4342866480984</v>
      </c>
      <c r="I195" s="26">
        <v>0</v>
      </c>
      <c r="J195" s="26">
        <v>0</v>
      </c>
      <c r="K195" s="26">
        <f>Masters!C195</f>
        <v>0</v>
      </c>
      <c r="L195" s="62">
        <v>0</v>
      </c>
      <c r="M195" s="26">
        <v>0</v>
      </c>
      <c r="N195" s="26">
        <v>0</v>
      </c>
      <c r="O195" s="26">
        <f>Teva!$S195</f>
        <v>5715.6010697213487</v>
      </c>
      <c r="P195" s="26"/>
      <c r="Q195" s="26">
        <f>'Walgreens National'!U195</f>
        <v>7833.5338946621878</v>
      </c>
      <c r="R195" s="26">
        <f>Walmart!$H195</f>
        <v>0</v>
      </c>
      <c r="S195" s="61">
        <f t="shared" si="2"/>
        <v>27776.858872806089</v>
      </c>
    </row>
    <row r="196" spans="1:19" x14ac:dyDescent="0.35">
      <c r="A196" s="3" t="s">
        <v>22</v>
      </c>
      <c r="B196" s="14" t="s">
        <v>220</v>
      </c>
      <c r="C196" s="26">
        <f>Allergan!$M196</f>
        <v>27449.46209338116</v>
      </c>
      <c r="D196" s="26">
        <f>CVS!$P196</f>
        <v>59078.834344120805</v>
      </c>
      <c r="E196" s="26">
        <f>Distributors!$Z196</f>
        <v>265543.47532971384</v>
      </c>
      <c r="F196" s="26">
        <f>Janssen!$S196</f>
        <v>61285.306952107931</v>
      </c>
      <c r="G196" s="26">
        <v>0</v>
      </c>
      <c r="H196" s="26">
        <f>Kroger!P196</f>
        <v>16982.261445417298</v>
      </c>
      <c r="I196" s="26">
        <v>0</v>
      </c>
      <c r="J196" s="26">
        <v>0</v>
      </c>
      <c r="K196" s="26">
        <f>Masters!C196</f>
        <v>0</v>
      </c>
      <c r="L196" s="62">
        <v>0</v>
      </c>
      <c r="M196" s="26">
        <f>Meijer!D12</f>
        <v>6272.7750000000005</v>
      </c>
      <c r="N196" s="26">
        <v>0</v>
      </c>
      <c r="O196" s="26">
        <f>Teva!$S196</f>
        <v>44846.327022856618</v>
      </c>
      <c r="P196" s="26"/>
      <c r="Q196" s="26">
        <f>'Walgreens National'!U196</f>
        <v>64193.240124582138</v>
      </c>
      <c r="R196" s="26">
        <f>Walmart!$H196</f>
        <v>36520.600000000006</v>
      </c>
      <c r="S196" s="61">
        <f t="shared" ref="S196:S259" si="3">SUM(C196:R196)</f>
        <v>582172.2823121798</v>
      </c>
    </row>
    <row r="197" spans="1:19" x14ac:dyDescent="0.35">
      <c r="A197" s="3" t="s">
        <v>105</v>
      </c>
      <c r="B197" s="14" t="s">
        <v>221</v>
      </c>
      <c r="C197" s="26">
        <f>Allergan!$M197</f>
        <v>12280.203416314414</v>
      </c>
      <c r="D197" s="26">
        <f>CVS!$P197</f>
        <v>26430.400953433382</v>
      </c>
      <c r="E197" s="26">
        <f>Distributors!$Z197</f>
        <v>111627.44133239335</v>
      </c>
      <c r="F197" s="26">
        <f>Janssen!$S197</f>
        <v>26239.531771155591</v>
      </c>
      <c r="G197" s="26">
        <v>0</v>
      </c>
      <c r="H197" s="26">
        <f>Kroger!P197</f>
        <v>14240.158529481825</v>
      </c>
      <c r="I197" s="26">
        <v>0</v>
      </c>
      <c r="J197" s="26">
        <v>0</v>
      </c>
      <c r="K197" s="26">
        <f>Masters!C197</f>
        <v>0</v>
      </c>
      <c r="L197" s="62">
        <v>0</v>
      </c>
      <c r="M197" s="26">
        <v>0</v>
      </c>
      <c r="N197" s="26">
        <v>0</v>
      </c>
      <c r="O197" s="26">
        <f>Teva!$S197</f>
        <v>20063.129124835839</v>
      </c>
      <c r="P197" s="26"/>
      <c r="Q197" s="26">
        <f>'Walgreens National'!U197</f>
        <v>28718.455664150395</v>
      </c>
      <c r="R197" s="26">
        <f>Walmart!$H197</f>
        <v>16338.41</v>
      </c>
      <c r="S197" s="61">
        <f t="shared" si="3"/>
        <v>255937.7307917648</v>
      </c>
    </row>
    <row r="198" spans="1:19" x14ac:dyDescent="0.35">
      <c r="A198" s="3" t="s">
        <v>34</v>
      </c>
      <c r="B198" s="14" t="s">
        <v>222</v>
      </c>
      <c r="C198" s="26">
        <f>Allergan!$M198</f>
        <v>25648.010535929247</v>
      </c>
      <c r="D198" s="26">
        <f>CVS!$P198</f>
        <v>55201.61666376717</v>
      </c>
      <c r="E198" s="26">
        <f>Distributors!$Z198</f>
        <v>233141.23150023929</v>
      </c>
      <c r="F198" s="26">
        <f>Janssen!$S198</f>
        <v>54802.982192898584</v>
      </c>
      <c r="G198" s="26">
        <v>0</v>
      </c>
      <c r="H198" s="26">
        <f>Kroger!P198</f>
        <v>29741.502479856383</v>
      </c>
      <c r="I198" s="26">
        <v>0</v>
      </c>
      <c r="J198" s="26">
        <v>0</v>
      </c>
      <c r="K198" s="26">
        <f>Masters!C198</f>
        <v>0</v>
      </c>
      <c r="L198" s="62">
        <v>0</v>
      </c>
      <c r="M198" s="26">
        <v>0</v>
      </c>
      <c r="N198" s="26">
        <v>0</v>
      </c>
      <c r="O198" s="26">
        <f>Teva!$S198</f>
        <v>41903.15875791062</v>
      </c>
      <c r="P198" s="26"/>
      <c r="Q198" s="26">
        <f>'Walgreens National'!U198</f>
        <v>59980.378045003556</v>
      </c>
      <c r="R198" s="26">
        <f>Walmart!$H198</f>
        <v>34123.83</v>
      </c>
      <c r="S198" s="61">
        <f t="shared" si="3"/>
        <v>534542.71017560479</v>
      </c>
    </row>
    <row r="199" spans="1:19" x14ac:dyDescent="0.35">
      <c r="A199" s="3" t="s">
        <v>34</v>
      </c>
      <c r="B199" s="14" t="s">
        <v>223</v>
      </c>
      <c r="C199" s="26">
        <f>Allergan!$M199</f>
        <v>18158.411593783483</v>
      </c>
      <c r="D199" s="26">
        <f>CVS!$P199</f>
        <v>39081.935101289899</v>
      </c>
      <c r="E199" s="26">
        <f>Distributors!$Z199</f>
        <v>165060.57012399161</v>
      </c>
      <c r="F199" s="26">
        <f>Janssen!$S199</f>
        <v>38799.714770610262</v>
      </c>
      <c r="G199" s="26">
        <v>0</v>
      </c>
      <c r="H199" s="26">
        <f>Kroger!P199</f>
        <v>21056.547160972328</v>
      </c>
      <c r="I199" s="26">
        <v>0</v>
      </c>
      <c r="J199" s="26">
        <v>0</v>
      </c>
      <c r="K199" s="26">
        <f>Masters!C199</f>
        <v>0</v>
      </c>
      <c r="L199" s="62">
        <v>0</v>
      </c>
      <c r="M199" s="26">
        <v>0</v>
      </c>
      <c r="N199" s="26">
        <v>0</v>
      </c>
      <c r="O199" s="26">
        <f>Teva!$S199</f>
        <v>29666.819856574926</v>
      </c>
      <c r="P199" s="26"/>
      <c r="Q199" s="26">
        <f>'Walgreens National'!U199</f>
        <v>42465.226087556475</v>
      </c>
      <c r="R199" s="26">
        <f>Walmart!$H199</f>
        <v>24159.17</v>
      </c>
      <c r="S199" s="61">
        <f t="shared" si="3"/>
        <v>378448.39469477895</v>
      </c>
    </row>
    <row r="200" spans="1:19" x14ac:dyDescent="0.35">
      <c r="A200" s="3" t="s">
        <v>34</v>
      </c>
      <c r="B200" s="14" t="s">
        <v>224</v>
      </c>
      <c r="C200" s="26">
        <f>Allergan!$M200</f>
        <v>4800.4787504877586</v>
      </c>
      <c r="D200" s="26">
        <f>CVS!$P200</f>
        <v>10331.965225300928</v>
      </c>
      <c r="E200" s="26">
        <f>Distributors!$Z200</f>
        <v>43636.538152729634</v>
      </c>
      <c r="F200" s="26">
        <f>Janssen!$S200</f>
        <v>10257.359042006254</v>
      </c>
      <c r="G200" s="26">
        <v>0</v>
      </c>
      <c r="H200" s="26">
        <f>Kroger!P200</f>
        <v>5566.6517453328006</v>
      </c>
      <c r="I200" s="26">
        <v>0</v>
      </c>
      <c r="J200" s="26">
        <v>0</v>
      </c>
      <c r="K200" s="26">
        <f>Masters!C200</f>
        <v>0</v>
      </c>
      <c r="L200" s="62">
        <v>0</v>
      </c>
      <c r="M200" s="26">
        <v>0</v>
      </c>
      <c r="N200" s="26">
        <v>0</v>
      </c>
      <c r="O200" s="26">
        <f>Teva!$S200</f>
        <v>7842.9259052670604</v>
      </c>
      <c r="P200" s="26"/>
      <c r="Q200" s="26">
        <f>'Walgreens National'!U200</f>
        <v>11226.39867149454</v>
      </c>
      <c r="R200" s="26">
        <f>Walmart!$H200</f>
        <v>6386.88</v>
      </c>
      <c r="S200" s="61">
        <f t="shared" si="3"/>
        <v>100049.19749261896</v>
      </c>
    </row>
    <row r="201" spans="1:19" x14ac:dyDescent="0.35">
      <c r="A201" s="3" t="s">
        <v>34</v>
      </c>
      <c r="B201" s="14" t="s">
        <v>34</v>
      </c>
      <c r="C201" s="26">
        <f>Allergan!$M201</f>
        <v>1715771.4070358584</v>
      </c>
      <c r="D201" s="26">
        <f>CVS!$P201</f>
        <v>3690528.3711603768</v>
      </c>
      <c r="E201" s="26">
        <f>Distributors!$Z201</f>
        <v>17173816.103267204</v>
      </c>
      <c r="F201" s="26">
        <f>Janssen!$S201</f>
        <v>3963579.3062795904</v>
      </c>
      <c r="G201" s="26">
        <v>0</v>
      </c>
      <c r="H201" s="26">
        <f>Kroger!P201</f>
        <v>1060441.5136484019</v>
      </c>
      <c r="I201" s="26">
        <v>0</v>
      </c>
      <c r="J201" s="26">
        <f>Mallinckrodt!E15</f>
        <v>695517.53</v>
      </c>
      <c r="K201" s="26">
        <f>Masters!C201</f>
        <v>0</v>
      </c>
      <c r="L201" s="62">
        <v>0</v>
      </c>
      <c r="M201" s="26">
        <v>0</v>
      </c>
      <c r="N201" s="26">
        <v>0</v>
      </c>
      <c r="O201" s="26">
        <f>Teva!$S201</f>
        <v>2801067.7084128736</v>
      </c>
      <c r="P201" s="26"/>
      <c r="Q201" s="26">
        <f>'Walgreens National'!U201</f>
        <v>4009998.9057858144</v>
      </c>
      <c r="R201" s="26">
        <f>Walmart!$H201</f>
        <v>2280494.89</v>
      </c>
      <c r="S201" s="61">
        <f t="shared" si="3"/>
        <v>37391215.735590123</v>
      </c>
    </row>
    <row r="202" spans="1:19" x14ac:dyDescent="0.35">
      <c r="A202" s="3" t="s">
        <v>225</v>
      </c>
      <c r="B202" s="14" t="s">
        <v>225</v>
      </c>
      <c r="C202" s="26">
        <f>Allergan!$M202</f>
        <v>71379.571547446074</v>
      </c>
      <c r="D202" s="26">
        <f>CVS!$P202</f>
        <v>153628.58422243979</v>
      </c>
      <c r="E202" s="26">
        <f>Distributors!$Z202</f>
        <v>690519.21398576151</v>
      </c>
      <c r="F202" s="26">
        <f>Janssen!$S202</f>
        <v>159366.30263146901</v>
      </c>
      <c r="G202" s="26">
        <v>0</v>
      </c>
      <c r="H202" s="26">
        <f>Kroger!P202</f>
        <v>44160.670003275023</v>
      </c>
      <c r="I202" s="26">
        <v>0</v>
      </c>
      <c r="J202" s="26">
        <v>0</v>
      </c>
      <c r="K202" s="26">
        <f>Masters!C202</f>
        <v>3873.73</v>
      </c>
      <c r="L202" s="62">
        <v>0</v>
      </c>
      <c r="M202" s="26">
        <v>0</v>
      </c>
      <c r="N202" s="26">
        <v>0</v>
      </c>
      <c r="O202" s="26">
        <f>Teva!$S202</f>
        <v>116618.36854996133</v>
      </c>
      <c r="P202" s="26"/>
      <c r="Q202" s="26">
        <f>'Walgreens National'!U202</f>
        <v>166928.07768758119</v>
      </c>
      <c r="R202" s="26">
        <f>Walmart!$H202</f>
        <v>94968.16</v>
      </c>
      <c r="S202" s="61">
        <f t="shared" si="3"/>
        <v>1501442.6786279336</v>
      </c>
    </row>
    <row r="203" spans="1:19" x14ac:dyDescent="0.35">
      <c r="A203" s="3" t="s">
        <v>60</v>
      </c>
      <c r="B203" s="14" t="s">
        <v>226</v>
      </c>
      <c r="C203" s="26">
        <f>Allergan!$M203</f>
        <v>64.790000000000006</v>
      </c>
      <c r="D203" s="26">
        <f>CVS!$P203</f>
        <v>25468.87</v>
      </c>
      <c r="E203" s="26">
        <f>Distributors!$Z203</f>
        <v>542.69000000000005</v>
      </c>
      <c r="F203" s="26">
        <f>Janssen!$S203</f>
        <v>143.39000000000001</v>
      </c>
      <c r="G203" s="26">
        <v>0</v>
      </c>
      <c r="H203" s="26">
        <f>Kroger!P203</f>
        <v>73.360665614319757</v>
      </c>
      <c r="I203" s="26">
        <v>0</v>
      </c>
      <c r="J203" s="26">
        <v>0</v>
      </c>
      <c r="K203" s="26">
        <f>Masters!C203</f>
        <v>0</v>
      </c>
      <c r="L203" s="62">
        <v>0</v>
      </c>
      <c r="M203" s="26">
        <v>0</v>
      </c>
      <c r="N203" s="26">
        <v>0</v>
      </c>
      <c r="O203" s="26">
        <f>Teva!$S203</f>
        <v>104.0290767943637</v>
      </c>
      <c r="P203" s="26"/>
      <c r="Q203" s="26">
        <f>'Walgreens National'!U203</f>
        <v>131.52120455977811</v>
      </c>
      <c r="R203" s="26">
        <f>Walmart!$H203</f>
        <v>84.17</v>
      </c>
      <c r="S203" s="61">
        <f t="shared" si="3"/>
        <v>26612.820946968455</v>
      </c>
    </row>
    <row r="204" spans="1:19" x14ac:dyDescent="0.35">
      <c r="A204" s="3" t="s">
        <v>227</v>
      </c>
      <c r="B204" s="14" t="s">
        <v>227</v>
      </c>
      <c r="C204" s="26">
        <f>Allergan!$M204</f>
        <v>182464.91539936309</v>
      </c>
      <c r="D204" s="26">
        <f>CVS!$P204</f>
        <v>392714.98935375386</v>
      </c>
      <c r="E204" s="26">
        <f>Distributors!$Z204</f>
        <v>1765148.3350884833</v>
      </c>
      <c r="F204" s="26">
        <f>Janssen!$S204</f>
        <v>407382.11963374744</v>
      </c>
      <c r="G204" s="26">
        <v>0</v>
      </c>
      <c r="H204" s="26">
        <f>Kroger!P204</f>
        <v>112886.26118906605</v>
      </c>
      <c r="I204" s="26">
        <v>0</v>
      </c>
      <c r="J204" s="26">
        <v>0</v>
      </c>
      <c r="K204" s="26">
        <f>Masters!C204</f>
        <v>755.25</v>
      </c>
      <c r="L204" s="62">
        <v>0</v>
      </c>
      <c r="M204" s="26">
        <v>0</v>
      </c>
      <c r="N204" s="26">
        <v>0</v>
      </c>
      <c r="O204" s="26">
        <f>Teva!$S204</f>
        <v>298107.16283631721</v>
      </c>
      <c r="P204" s="26"/>
      <c r="Q204" s="26">
        <f>'Walgreens National'!U204</f>
        <v>426711.98176136042</v>
      </c>
      <c r="R204" s="26">
        <f>Walmart!$H204</f>
        <v>242763.54</v>
      </c>
      <c r="S204" s="61">
        <f t="shared" si="3"/>
        <v>3828934.5552620906</v>
      </c>
    </row>
    <row r="205" spans="1:19" x14ac:dyDescent="0.35">
      <c r="A205" s="3" t="s">
        <v>228</v>
      </c>
      <c r="B205" s="14" t="s">
        <v>228</v>
      </c>
      <c r="C205" s="26">
        <f>Allergan!$M205</f>
        <v>16540.6665299374</v>
      </c>
      <c r="D205" s="26">
        <f>CVS!$P205</f>
        <v>35600.099971471522</v>
      </c>
      <c r="E205" s="26">
        <f>Distributors!$Z205</f>
        <v>160012.91870633746</v>
      </c>
      <c r="F205" s="26">
        <f>Janssen!$S205</f>
        <v>36929.698489949289</v>
      </c>
      <c r="G205" s="26">
        <v>0</v>
      </c>
      <c r="H205" s="26">
        <f>Kroger!P205</f>
        <v>10233.280857485677</v>
      </c>
      <c r="I205" s="26">
        <v>0</v>
      </c>
      <c r="J205" s="26">
        <v>0</v>
      </c>
      <c r="K205" s="26">
        <f>Masters!C205</f>
        <v>0</v>
      </c>
      <c r="L205" s="62">
        <v>0</v>
      </c>
      <c r="M205" s="26">
        <v>0</v>
      </c>
      <c r="N205" s="26">
        <v>0</v>
      </c>
      <c r="O205" s="26">
        <f>Teva!$S205</f>
        <v>27023.788841945901</v>
      </c>
      <c r="P205" s="26"/>
      <c r="Q205" s="26">
        <f>'Walgreens National'!U205</f>
        <v>38681.978523830883</v>
      </c>
      <c r="R205" s="26">
        <f>Walmart!$H205</f>
        <v>22006.82</v>
      </c>
      <c r="S205" s="61">
        <f t="shared" si="3"/>
        <v>347029.25192095811</v>
      </c>
    </row>
    <row r="206" spans="1:19" x14ac:dyDescent="0.35">
      <c r="A206" s="3" t="s">
        <v>34</v>
      </c>
      <c r="B206" s="14" t="s">
        <v>229</v>
      </c>
      <c r="C206" s="26">
        <f>Allergan!$M206</f>
        <v>8479.5546476576037</v>
      </c>
      <c r="D206" s="26">
        <f>CVS!$P206</f>
        <v>18250.349682555687</v>
      </c>
      <c r="E206" s="26">
        <f>Distributors!$Z206</f>
        <v>77079.403363369842</v>
      </c>
      <c r="F206" s="26">
        <f>Janssen!$S206</f>
        <v>18118.565635109255</v>
      </c>
      <c r="G206" s="26">
        <v>0</v>
      </c>
      <c r="H206" s="26">
        <f>Kroger!P206</f>
        <v>9832.9125859773721</v>
      </c>
      <c r="I206" s="26">
        <v>0</v>
      </c>
      <c r="J206" s="26">
        <v>0</v>
      </c>
      <c r="K206" s="26">
        <f>Masters!C206</f>
        <v>0</v>
      </c>
      <c r="L206" s="62">
        <v>0</v>
      </c>
      <c r="M206" s="26">
        <v>0</v>
      </c>
      <c r="N206" s="26">
        <v>0</v>
      </c>
      <c r="O206" s="26">
        <f>Teva!$S206</f>
        <v>13853.707110699668</v>
      </c>
      <c r="P206" s="26"/>
      <c r="Q206" s="26">
        <f>'Walgreens National'!U206</f>
        <v>19830.25292631859</v>
      </c>
      <c r="R206" s="26">
        <f>Walmart!$H206</f>
        <v>11281.76</v>
      </c>
      <c r="S206" s="61">
        <f t="shared" si="3"/>
        <v>176726.50595168804</v>
      </c>
    </row>
    <row r="207" spans="1:19" x14ac:dyDescent="0.35">
      <c r="A207" s="3" t="s">
        <v>230</v>
      </c>
      <c r="B207" s="14" t="s">
        <v>230</v>
      </c>
      <c r="C207" s="26">
        <f>Allergan!$M207</f>
        <v>63106.75583230811</v>
      </c>
      <c r="D207" s="26">
        <f>CVS!$P207</f>
        <v>135823.18694738415</v>
      </c>
      <c r="E207" s="26">
        <f>Distributors!$Z207</f>
        <v>610488.74462899973</v>
      </c>
      <c r="F207" s="26">
        <f>Janssen!$S207</f>
        <v>140895.91173957719</v>
      </c>
      <c r="G207" s="26">
        <v>0</v>
      </c>
      <c r="H207" s="26">
        <f>Kroger!P207</f>
        <v>39042.492580799495</v>
      </c>
      <c r="I207" s="26">
        <v>0</v>
      </c>
      <c r="J207" s="26">
        <v>0</v>
      </c>
      <c r="K207" s="26">
        <f>Masters!C207</f>
        <v>16.239999999999998</v>
      </c>
      <c r="L207" s="62">
        <v>0</v>
      </c>
      <c r="M207" s="26">
        <v>0</v>
      </c>
      <c r="N207" s="26">
        <v>0</v>
      </c>
      <c r="O207" s="26">
        <f>Teva!$S207</f>
        <v>103102.41573513887</v>
      </c>
      <c r="P207" s="26"/>
      <c r="Q207" s="26">
        <f>'Walgreens National'!U207</f>
        <v>147581.27864236673</v>
      </c>
      <c r="R207" s="26">
        <f>Walmart!$H207</f>
        <v>83961.45</v>
      </c>
      <c r="S207" s="61">
        <f t="shared" si="3"/>
        <v>1324018.4761065741</v>
      </c>
    </row>
    <row r="208" spans="1:19" x14ac:dyDescent="0.35">
      <c r="A208" s="3" t="s">
        <v>231</v>
      </c>
      <c r="B208" s="14" t="s">
        <v>231</v>
      </c>
      <c r="C208" s="26">
        <f>Allergan!$M208</f>
        <v>17177.283997200506</v>
      </c>
      <c r="D208" s="26">
        <f>CVS!$P208</f>
        <v>36970.268579343057</v>
      </c>
      <c r="E208" s="26">
        <f>Distributors!$Z208</f>
        <v>156142.08766818495</v>
      </c>
      <c r="F208" s="26">
        <f>Janssen!$S208</f>
        <v>36703.301550218559</v>
      </c>
      <c r="G208" s="26">
        <v>0</v>
      </c>
      <c r="H208" s="26">
        <f>Kroger!P208</f>
        <v>19918.828247174948</v>
      </c>
      <c r="I208" s="26">
        <v>0</v>
      </c>
      <c r="J208" s="26">
        <v>0</v>
      </c>
      <c r="K208" s="26">
        <f>Masters!C208</f>
        <v>0</v>
      </c>
      <c r="L208" s="62">
        <v>0</v>
      </c>
      <c r="M208" s="26">
        <v>0</v>
      </c>
      <c r="N208" s="26">
        <v>0</v>
      </c>
      <c r="O208" s="26">
        <f>Teva!$S208</f>
        <v>28063.874306125454</v>
      </c>
      <c r="P208" s="26"/>
      <c r="Q208" s="26">
        <f>'Walgreens National'!U208</f>
        <v>40170.760466839398</v>
      </c>
      <c r="R208" s="26">
        <f>Walmart!$H208</f>
        <v>22853.82</v>
      </c>
      <c r="S208" s="61">
        <f t="shared" si="3"/>
        <v>358000.22481508693</v>
      </c>
    </row>
    <row r="209" spans="1:19" x14ac:dyDescent="0.35">
      <c r="A209" s="3" t="s">
        <v>83</v>
      </c>
      <c r="B209" s="14" t="s">
        <v>232</v>
      </c>
      <c r="C209" s="26">
        <f>Allergan!$M209</f>
        <v>2229.11</v>
      </c>
      <c r="D209" s="26">
        <f>CVS!$P209</f>
        <v>12994.3</v>
      </c>
      <c r="E209" s="26">
        <f>Distributors!$Z209</f>
        <v>19784.478214375413</v>
      </c>
      <c r="F209" s="26">
        <f>Janssen!$S209</f>
        <v>4650.6067789924309</v>
      </c>
      <c r="G209" s="26">
        <v>0</v>
      </c>
      <c r="H209" s="26">
        <f>Kroger!P209</f>
        <v>2523.8789221563666</v>
      </c>
      <c r="I209" s="26">
        <v>0</v>
      </c>
      <c r="J209" s="26">
        <v>0</v>
      </c>
      <c r="K209" s="26">
        <f>Masters!C209</f>
        <v>0</v>
      </c>
      <c r="L209" s="62">
        <v>0</v>
      </c>
      <c r="M209" s="26">
        <v>0</v>
      </c>
      <c r="N209" s="26">
        <v>0</v>
      </c>
      <c r="O209" s="26">
        <f>Teva!$S209</f>
        <v>3578.9859867551468</v>
      </c>
      <c r="P209" s="26"/>
      <c r="Q209" s="26">
        <f>'Walgreens National'!U209</f>
        <v>5379.89</v>
      </c>
      <c r="R209" s="26">
        <f>Walmart!$H209</f>
        <v>2895.77</v>
      </c>
      <c r="S209" s="61">
        <f t="shared" si="3"/>
        <v>54037.019902279353</v>
      </c>
    </row>
    <row r="210" spans="1:19" x14ac:dyDescent="0.35">
      <c r="A210" s="3" t="s">
        <v>233</v>
      </c>
      <c r="B210" s="14" t="s">
        <v>233</v>
      </c>
      <c r="C210" s="26">
        <f>Allergan!$M210</f>
        <v>93094.209454730051</v>
      </c>
      <c r="D210" s="26">
        <f>CVS!$P210</f>
        <v>200364.48782430158</v>
      </c>
      <c r="E210" s="26">
        <f>Distributors!$Z210</f>
        <v>900584.54175011185</v>
      </c>
      <c r="F210" s="26">
        <f>Janssen!$S210</f>
        <v>207847.70961913676</v>
      </c>
      <c r="G210" s="26">
        <v>0</v>
      </c>
      <c r="H210" s="26">
        <f>Kroger!P210</f>
        <v>57594.945451921492</v>
      </c>
      <c r="I210" s="26">
        <v>0</v>
      </c>
      <c r="J210" s="26">
        <v>0</v>
      </c>
      <c r="K210" s="26">
        <f>Masters!C210</f>
        <v>4474.68</v>
      </c>
      <c r="L210" s="62">
        <v>0</v>
      </c>
      <c r="M210" s="26">
        <v>0</v>
      </c>
      <c r="N210" s="26">
        <v>0</v>
      </c>
      <c r="O210" s="26">
        <f>Teva!$S210</f>
        <v>152095.26055176224</v>
      </c>
      <c r="P210" s="26"/>
      <c r="Q210" s="26">
        <f>'Walgreens National'!U210</f>
        <v>217709.87677617228</v>
      </c>
      <c r="R210" s="26">
        <f>Walmart!$H210</f>
        <v>123858.76999999999</v>
      </c>
      <c r="S210" s="61">
        <f t="shared" si="3"/>
        <v>1957624.4814281364</v>
      </c>
    </row>
    <row r="211" spans="1:19" x14ac:dyDescent="0.35">
      <c r="A211" s="3" t="s">
        <v>24</v>
      </c>
      <c r="B211" s="14" t="s">
        <v>24</v>
      </c>
      <c r="C211" s="26">
        <f>Allergan!$M211</f>
        <v>260873.62918859918</v>
      </c>
      <c r="D211" s="26">
        <f>CVS!$P211</f>
        <v>561572.85954245052</v>
      </c>
      <c r="E211" s="26">
        <f>Distributors!$Z211</f>
        <v>2360439.868867781</v>
      </c>
      <c r="F211" s="26">
        <f>Janssen!$S211</f>
        <v>554439.58355518174</v>
      </c>
      <c r="G211" s="26">
        <v>0</v>
      </c>
      <c r="H211" s="26">
        <f>Kroger!P211</f>
        <v>300893.52805067413</v>
      </c>
      <c r="I211" s="26">
        <v>0</v>
      </c>
      <c r="J211" s="26">
        <v>0</v>
      </c>
      <c r="K211" s="26">
        <f>Masters!C211</f>
        <v>0</v>
      </c>
      <c r="L211" s="62">
        <v>0</v>
      </c>
      <c r="M211" s="26">
        <v>0</v>
      </c>
      <c r="N211" s="26">
        <v>0</v>
      </c>
      <c r="O211" s="26">
        <f>Teva!$S211</f>
        <v>423932.46316481108</v>
      </c>
      <c r="P211" s="26"/>
      <c r="Q211" s="26">
        <f>'Walgreens National'!U211</f>
        <v>618039.97071764548</v>
      </c>
      <c r="R211" s="26">
        <f>Walmart!$H211</f>
        <v>345229.37</v>
      </c>
      <c r="S211" s="61">
        <f t="shared" si="3"/>
        <v>5425421.273087143</v>
      </c>
    </row>
    <row r="212" spans="1:19" x14ac:dyDescent="0.35">
      <c r="A212" s="3" t="s">
        <v>234</v>
      </c>
      <c r="B212" s="14" t="s">
        <v>235</v>
      </c>
      <c r="C212" s="26">
        <f>Allergan!$M212</f>
        <v>10505.321225164378</v>
      </c>
      <c r="D212" s="26">
        <f>CVS!$P212</f>
        <v>22610.367166437591</v>
      </c>
      <c r="E212" s="26">
        <f>Distributors!$Z212</f>
        <v>95493.713550842265</v>
      </c>
      <c r="F212" s="26">
        <f>Janssen!$S212</f>
        <v>22447.085609341346</v>
      </c>
      <c r="G212" s="26">
        <v>0</v>
      </c>
      <c r="H212" s="26">
        <f>Kroger!P212</f>
        <v>12181.999157720302</v>
      </c>
      <c r="I212" s="26">
        <v>0</v>
      </c>
      <c r="J212" s="26">
        <v>0</v>
      </c>
      <c r="K212" s="26">
        <f>Masters!C212</f>
        <v>0</v>
      </c>
      <c r="L212" s="62">
        <v>0</v>
      </c>
      <c r="M212" s="26">
        <v>0</v>
      </c>
      <c r="N212" s="26">
        <v>0</v>
      </c>
      <c r="O212" s="26">
        <f>Teva!$S212</f>
        <v>17163.367191251702</v>
      </c>
      <c r="P212" s="26"/>
      <c r="Q212" s="26">
        <f>'Walgreens National'!U212</f>
        <v>24567.711840306114</v>
      </c>
      <c r="R212" s="26">
        <f>Walmart!$H212</f>
        <v>13976.98</v>
      </c>
      <c r="S212" s="61">
        <f t="shared" si="3"/>
        <v>218946.54574106375</v>
      </c>
    </row>
    <row r="213" spans="1:19" x14ac:dyDescent="0.35">
      <c r="A213" s="3" t="s">
        <v>34</v>
      </c>
      <c r="B213" s="14" t="s">
        <v>236</v>
      </c>
      <c r="C213" s="26">
        <f>Allergan!$M213</f>
        <v>3860.8412280450571</v>
      </c>
      <c r="D213" s="26">
        <f>CVS!$P213</f>
        <v>8309.5826047780847</v>
      </c>
      <c r="E213" s="26">
        <f>Distributors!$Z213</f>
        <v>35095.112498477778</v>
      </c>
      <c r="F213" s="26">
        <f>Janssen!$S213</f>
        <v>8249.5790080307343</v>
      </c>
      <c r="G213" s="26">
        <v>0</v>
      </c>
      <c r="H213" s="26">
        <f>Kroger!P213</f>
        <v>4477.0333031128121</v>
      </c>
      <c r="I213" s="26">
        <v>0</v>
      </c>
      <c r="J213" s="26">
        <v>0</v>
      </c>
      <c r="K213" s="26">
        <f>Masters!C213</f>
        <v>0</v>
      </c>
      <c r="L213" s="62">
        <v>0</v>
      </c>
      <c r="M213" s="26">
        <v>0</v>
      </c>
      <c r="N213" s="26">
        <v>0</v>
      </c>
      <c r="O213" s="26">
        <f>Teva!$S213</f>
        <v>6307.7499660912854</v>
      </c>
      <c r="P213" s="26"/>
      <c r="Q213" s="26">
        <f>'Walgreens National'!U213</f>
        <v>9028.9277094842291</v>
      </c>
      <c r="R213" s="26">
        <f>Walmart!$H213</f>
        <v>5136.7199999999993</v>
      </c>
      <c r="S213" s="61">
        <f t="shared" si="3"/>
        <v>80465.546318019973</v>
      </c>
    </row>
    <row r="214" spans="1:19" x14ac:dyDescent="0.35">
      <c r="A214" s="3" t="s">
        <v>24</v>
      </c>
      <c r="B214" s="14" t="s">
        <v>237</v>
      </c>
      <c r="C214" s="26">
        <f>Allergan!$M214</f>
        <v>1243.8499999999999</v>
      </c>
      <c r="D214" s="26">
        <f>CVS!$P214</f>
        <v>1164.1400000000001</v>
      </c>
      <c r="E214" s="26">
        <f>Distributors!$Z214</f>
        <v>11039.805273769489</v>
      </c>
      <c r="F214" s="26">
        <f>Janssen!$S214</f>
        <v>2595.0605514038916</v>
      </c>
      <c r="G214" s="26">
        <v>0</v>
      </c>
      <c r="H214" s="26">
        <f>Kroger!P214</f>
        <v>1408.3334727612628</v>
      </c>
      <c r="I214" s="26">
        <v>0</v>
      </c>
      <c r="J214" s="26">
        <v>0</v>
      </c>
      <c r="K214" s="26">
        <f>Masters!C214</f>
        <v>0</v>
      </c>
      <c r="L214" s="62">
        <v>0</v>
      </c>
      <c r="M214" s="26">
        <v>0</v>
      </c>
      <c r="N214" s="26">
        <v>0</v>
      </c>
      <c r="O214" s="26">
        <f>Teva!$S214</f>
        <v>1997.0869915520029</v>
      </c>
      <c r="P214" s="26"/>
      <c r="Q214" s="26">
        <f>'Walgreens National'!U214</f>
        <v>3002</v>
      </c>
      <c r="R214" s="26">
        <f>Walmart!$H214</f>
        <v>1615.85</v>
      </c>
      <c r="S214" s="61">
        <f t="shared" si="3"/>
        <v>24066.126289486645</v>
      </c>
    </row>
    <row r="215" spans="1:19" x14ac:dyDescent="0.35">
      <c r="A215" s="3" t="s">
        <v>28</v>
      </c>
      <c r="B215" s="14" t="s">
        <v>238</v>
      </c>
      <c r="C215" s="26">
        <f>Allergan!$M215</f>
        <v>8340.1756198918974</v>
      </c>
      <c r="D215" s="26">
        <f>CVS!$P215</f>
        <v>17950.358945086522</v>
      </c>
      <c r="E215" s="26">
        <f>Distributors!$Z215</f>
        <v>77800.552032983542</v>
      </c>
      <c r="F215" s="26">
        <f>Janssen!$S215</f>
        <v>17955.742626460291</v>
      </c>
      <c r="G215" s="26">
        <v>0</v>
      </c>
      <c r="H215" s="26">
        <f>Kroger!P215</f>
        <v>5159.8461826651219</v>
      </c>
      <c r="I215" s="26">
        <v>0</v>
      </c>
      <c r="J215" s="26">
        <v>0</v>
      </c>
      <c r="K215" s="26">
        <f>Masters!C215</f>
        <v>0</v>
      </c>
      <c r="L215" s="62">
        <v>0</v>
      </c>
      <c r="M215" s="26">
        <f>Meijer!D13</f>
        <v>562500</v>
      </c>
      <c r="N215" s="26">
        <v>0</v>
      </c>
      <c r="O215" s="26">
        <f>Teva!$S215</f>
        <v>13625.986080863304</v>
      </c>
      <c r="P215" s="26"/>
      <c r="Q215" s="26">
        <f>'Walgreens National'!U215</f>
        <v>19504.309210645493</v>
      </c>
      <c r="R215" s="26">
        <f>Walmart!$H215</f>
        <v>11096.33</v>
      </c>
      <c r="S215" s="61">
        <f t="shared" si="3"/>
        <v>733933.30069859617</v>
      </c>
    </row>
    <row r="216" spans="1:19" x14ac:dyDescent="0.35">
      <c r="A216" s="3" t="s">
        <v>14</v>
      </c>
      <c r="B216" s="14" t="s">
        <v>239</v>
      </c>
      <c r="C216" s="26">
        <f>Allergan!$M216</f>
        <v>2576.5094039187456</v>
      </c>
      <c r="D216" s="26">
        <f>CVS!$P216</f>
        <v>5545.3627836435944</v>
      </c>
      <c r="E216" s="26">
        <f>Distributors!$Z216</f>
        <v>23420.554175851703</v>
      </c>
      <c r="F216" s="26">
        <f>Janssen!$S216</f>
        <v>5505.3212417252362</v>
      </c>
      <c r="G216" s="26">
        <v>0</v>
      </c>
      <c r="H216" s="26">
        <f>Kroger!P216</f>
        <v>2987.7277476081713</v>
      </c>
      <c r="I216" s="26">
        <v>0</v>
      </c>
      <c r="J216" s="26">
        <v>0</v>
      </c>
      <c r="K216" s="26">
        <f>Masters!C216</f>
        <v>0</v>
      </c>
      <c r="L216" s="62">
        <v>0</v>
      </c>
      <c r="M216" s="26">
        <v>0</v>
      </c>
      <c r="N216" s="26">
        <v>0</v>
      </c>
      <c r="O216" s="26">
        <f>Teva!$S216</f>
        <v>4209.4484292805209</v>
      </c>
      <c r="P216" s="26"/>
      <c r="Q216" s="26">
        <f>'Walgreens National'!U216</f>
        <v>6025.4165834402284</v>
      </c>
      <c r="R216" s="26">
        <f>Walmart!$H216</f>
        <v>3427.96</v>
      </c>
      <c r="S216" s="61">
        <f t="shared" si="3"/>
        <v>53698.300365468203</v>
      </c>
    </row>
    <row r="217" spans="1:19" x14ac:dyDescent="0.35">
      <c r="A217" s="3" t="s">
        <v>22</v>
      </c>
      <c r="B217" s="14" t="s">
        <v>240</v>
      </c>
      <c r="C217" s="26">
        <f>Allergan!$M217</f>
        <v>10831.744695775873</v>
      </c>
      <c r="D217" s="26">
        <f>CVS!$P217</f>
        <v>23312.900917379073</v>
      </c>
      <c r="E217" s="26">
        <f>Distributors!$Z217</f>
        <v>98460.837061646118</v>
      </c>
      <c r="F217" s="26">
        <f>Janssen!$S217</f>
        <v>23144.545545066212</v>
      </c>
      <c r="G217" s="26">
        <v>0</v>
      </c>
      <c r="H217" s="26">
        <f>Kroger!P217</f>
        <v>12560.511545134228</v>
      </c>
      <c r="I217" s="26">
        <v>0</v>
      </c>
      <c r="J217" s="26">
        <v>0</v>
      </c>
      <c r="K217" s="26">
        <f>Masters!C217</f>
        <v>0</v>
      </c>
      <c r="L217" s="62">
        <v>0</v>
      </c>
      <c r="M217" s="26">
        <v>0</v>
      </c>
      <c r="N217" s="26">
        <v>0</v>
      </c>
      <c r="O217" s="26">
        <f>Teva!$S217</f>
        <v>17696.654400972348</v>
      </c>
      <c r="P217" s="26"/>
      <c r="Q217" s="26">
        <f>'Walgreens National'!U217</f>
        <v>25331.069897133999</v>
      </c>
      <c r="R217" s="26">
        <f>Walmart!$H217</f>
        <v>14411.27</v>
      </c>
      <c r="S217" s="61">
        <f t="shared" si="3"/>
        <v>225749.53406310786</v>
      </c>
    </row>
    <row r="218" spans="1:19" x14ac:dyDescent="0.35">
      <c r="A218" s="3" t="s">
        <v>34</v>
      </c>
      <c r="B218" s="14" t="s">
        <v>241</v>
      </c>
      <c r="C218" s="26">
        <f>Allergan!$M218</f>
        <v>98646.365234315206</v>
      </c>
      <c r="D218" s="26">
        <f>CVS!$P218</f>
        <v>212314.29545260797</v>
      </c>
      <c r="E218" s="26">
        <f>Distributors!$Z218</f>
        <v>920213.68018524791</v>
      </c>
      <c r="F218" s="26">
        <f>Janssen!$S218</f>
        <v>212377.95629894902</v>
      </c>
      <c r="G218" s="26">
        <v>0</v>
      </c>
      <c r="H218" s="26">
        <f>Kroger!P218</f>
        <v>61029.924416167851</v>
      </c>
      <c r="I218" s="26">
        <v>0</v>
      </c>
      <c r="J218" s="26">
        <v>0</v>
      </c>
      <c r="K218" s="26">
        <f>Masters!C218</f>
        <v>0</v>
      </c>
      <c r="L218" s="62">
        <v>0</v>
      </c>
      <c r="M218" s="26">
        <v>0</v>
      </c>
      <c r="N218" s="26">
        <v>0</v>
      </c>
      <c r="O218" s="26">
        <f>Teva!$S218</f>
        <v>161166.26547340179</v>
      </c>
      <c r="P218" s="26"/>
      <c r="Q218" s="26">
        <f>'Walgreens National'!U218</f>
        <v>230694.14857065614</v>
      </c>
      <c r="R218" s="26">
        <f>Walmart!$H218</f>
        <v>131245.74</v>
      </c>
      <c r="S218" s="61">
        <f t="shared" si="3"/>
        <v>2027688.3756313459</v>
      </c>
    </row>
    <row r="219" spans="1:19" x14ac:dyDescent="0.35">
      <c r="A219" s="3" t="s">
        <v>121</v>
      </c>
      <c r="B219" s="14" t="s">
        <v>242</v>
      </c>
      <c r="C219" s="26">
        <f>Allergan!$M219</f>
        <v>2525.5277676116875</v>
      </c>
      <c r="D219" s="26">
        <f>CVS!$P219</f>
        <v>5435.6347257937523</v>
      </c>
      <c r="E219" s="26">
        <f>Distributors!$Z219</f>
        <v>22957.134385281832</v>
      </c>
      <c r="F219" s="26">
        <f>Janssen!$S219</f>
        <v>5396.3894938783205</v>
      </c>
      <c r="G219" s="26">
        <v>0</v>
      </c>
      <c r="H219" s="26">
        <f>Kroger!P219</f>
        <v>2928.6106156155629</v>
      </c>
      <c r="I219" s="26">
        <v>0</v>
      </c>
      <c r="J219" s="26">
        <v>0</v>
      </c>
      <c r="K219" s="26">
        <f>Masters!C219</f>
        <v>0</v>
      </c>
      <c r="L219" s="62">
        <v>0</v>
      </c>
      <c r="M219" s="26">
        <v>0</v>
      </c>
      <c r="N219" s="26">
        <v>0</v>
      </c>
      <c r="O219" s="26">
        <f>Teva!$S219</f>
        <v>4126.1580655104744</v>
      </c>
      <c r="P219" s="26"/>
      <c r="Q219" s="26">
        <f>'Walgreens National'!U219</f>
        <v>5906.1912254192976</v>
      </c>
      <c r="R219" s="26">
        <f>Walmart!$H219</f>
        <v>3360.13</v>
      </c>
      <c r="S219" s="61">
        <f t="shared" si="3"/>
        <v>52635.776279110934</v>
      </c>
    </row>
    <row r="220" spans="1:19" x14ac:dyDescent="0.35">
      <c r="A220" s="3" t="s">
        <v>121</v>
      </c>
      <c r="B220" s="14" t="s">
        <v>243</v>
      </c>
      <c r="C220" s="26">
        <f>Allergan!$M220</f>
        <v>45595.282723428165</v>
      </c>
      <c r="D220" s="26">
        <f>CVS!$P220</f>
        <v>98133.67141224294</v>
      </c>
      <c r="E220" s="26">
        <f>Distributors!$Z220</f>
        <v>414462.60064845294</v>
      </c>
      <c r="F220" s="26">
        <f>Janssen!$S220</f>
        <v>97425.01926826642</v>
      </c>
      <c r="G220" s="26">
        <v>0</v>
      </c>
      <c r="H220" s="26">
        <f>Kroger!P220</f>
        <v>52872.415185210382</v>
      </c>
      <c r="I220" s="26">
        <v>0</v>
      </c>
      <c r="J220" s="26">
        <v>0</v>
      </c>
      <c r="K220" s="26">
        <f>Masters!C220</f>
        <v>0</v>
      </c>
      <c r="L220" s="62">
        <v>0</v>
      </c>
      <c r="M220" s="26">
        <v>0</v>
      </c>
      <c r="N220" s="26">
        <v>0</v>
      </c>
      <c r="O220" s="26">
        <f>Teva!$S220</f>
        <v>74492.569635065156</v>
      </c>
      <c r="P220" s="26"/>
      <c r="Q220" s="26">
        <f>'Walgreens National'!U220</f>
        <v>106629.01242757708</v>
      </c>
      <c r="R220" s="26">
        <f>Walmart!$H220</f>
        <v>60663.020000000004</v>
      </c>
      <c r="S220" s="61">
        <f t="shared" si="3"/>
        <v>950273.59130024305</v>
      </c>
    </row>
    <row r="221" spans="1:19" x14ac:dyDescent="0.35">
      <c r="A221" s="3" t="s">
        <v>83</v>
      </c>
      <c r="B221" s="14" t="s">
        <v>244</v>
      </c>
      <c r="C221" s="26">
        <f>Allergan!$M221</f>
        <v>17185.599008880916</v>
      </c>
      <c r="D221" s="26">
        <f>CVS!$P221</f>
        <v>36988.176567372699</v>
      </c>
      <c r="E221" s="26">
        <f>Distributors!$Z221</f>
        <v>156217.66630092109</v>
      </c>
      <c r="F221" s="26">
        <f>Janssen!$S221</f>
        <v>36721.066363996448</v>
      </c>
      <c r="G221" s="26">
        <v>0</v>
      </c>
      <c r="H221" s="26">
        <f>Kroger!P221</f>
        <v>19928.469706943033</v>
      </c>
      <c r="I221" s="26">
        <v>0</v>
      </c>
      <c r="J221" s="26">
        <v>0</v>
      </c>
      <c r="K221" s="26">
        <f>Masters!C221</f>
        <v>0</v>
      </c>
      <c r="L221" s="62">
        <v>0</v>
      </c>
      <c r="M221" s="26">
        <v>0</v>
      </c>
      <c r="N221" s="26">
        <v>0</v>
      </c>
      <c r="O221" s="26">
        <f>Teva!$S221</f>
        <v>28077.456176255324</v>
      </c>
      <c r="P221" s="26"/>
      <c r="Q221" s="26">
        <f>'Walgreens National'!U221</f>
        <v>40190.205702623367</v>
      </c>
      <c r="R221" s="26">
        <f>Walmart!$H221</f>
        <v>22864.880000000001</v>
      </c>
      <c r="S221" s="61">
        <f t="shared" si="3"/>
        <v>358173.51982699288</v>
      </c>
    </row>
    <row r="222" spans="1:19" x14ac:dyDescent="0.35">
      <c r="A222" s="3" t="s">
        <v>245</v>
      </c>
      <c r="B222" s="14" t="s">
        <v>245</v>
      </c>
      <c r="C222" s="26">
        <f>Allergan!$M222</f>
        <v>47725.527404063148</v>
      </c>
      <c r="D222" s="26">
        <f>CVS!$P222</f>
        <v>102718.5529282447</v>
      </c>
      <c r="E222" s="26">
        <f>Distributors!$Z222</f>
        <v>461692.28194012673</v>
      </c>
      <c r="F222" s="26">
        <f>Janssen!$S222</f>
        <v>106554.88646917947</v>
      </c>
      <c r="G222" s="26">
        <v>0</v>
      </c>
      <c r="H222" s="26">
        <f>Kroger!P222</f>
        <v>29526.53512482885</v>
      </c>
      <c r="I222" s="26">
        <v>0</v>
      </c>
      <c r="J222" s="26">
        <v>0</v>
      </c>
      <c r="K222" s="26">
        <f>Masters!C222</f>
        <v>0</v>
      </c>
      <c r="L222" s="62">
        <v>0</v>
      </c>
      <c r="M222" s="26">
        <v>0</v>
      </c>
      <c r="N222" s="26">
        <v>0</v>
      </c>
      <c r="O222" s="26">
        <f>Teva!$S222</f>
        <v>77972.916962742602</v>
      </c>
      <c r="P222" s="26"/>
      <c r="Q222" s="26">
        <f>'Walgreens National'!U222</f>
        <v>111610.81279977452</v>
      </c>
      <c r="R222" s="26">
        <f>Walmart!$H222</f>
        <v>63497.240000000005</v>
      </c>
      <c r="S222" s="61">
        <f t="shared" si="3"/>
        <v>1001298.7536289601</v>
      </c>
    </row>
    <row r="223" spans="1:19" x14ac:dyDescent="0.35">
      <c r="A223" s="3" t="s">
        <v>22</v>
      </c>
      <c r="B223" s="14" t="s">
        <v>246</v>
      </c>
      <c r="C223" s="26">
        <f>Allergan!$M223</f>
        <v>37090.397045842772</v>
      </c>
      <c r="D223" s="26">
        <f>CVS!$P223</f>
        <v>79828.800110914497</v>
      </c>
      <c r="E223" s="26">
        <f>Distributors!$Z223</f>
        <v>337152.90386484272</v>
      </c>
      <c r="F223" s="26">
        <f>Janssen!$S223</f>
        <v>79252.340617657203</v>
      </c>
      <c r="G223" s="26">
        <v>0</v>
      </c>
      <c r="H223" s="26">
        <f>Kroger!P223</f>
        <v>43010.124513484501</v>
      </c>
      <c r="I223" s="26">
        <v>0</v>
      </c>
      <c r="J223" s="26">
        <v>0</v>
      </c>
      <c r="K223" s="26">
        <f>Masters!C223</f>
        <v>0</v>
      </c>
      <c r="L223" s="62">
        <v>0</v>
      </c>
      <c r="M223" s="26">
        <v>0</v>
      </c>
      <c r="N223" s="26">
        <v>0</v>
      </c>
      <c r="O223" s="26">
        <f>Teva!$S223</f>
        <v>60597.473426382843</v>
      </c>
      <c r="P223" s="26"/>
      <c r="Q223" s="26">
        <f>'Walgreens National'!U223</f>
        <v>86739.5103877363</v>
      </c>
      <c r="R223" s="26">
        <f>Walmart!$H223</f>
        <v>49347.55</v>
      </c>
      <c r="S223" s="61">
        <f t="shared" si="3"/>
        <v>773019.09996686084</v>
      </c>
    </row>
    <row r="224" spans="1:19" x14ac:dyDescent="0.35">
      <c r="A224" s="3" t="s">
        <v>22</v>
      </c>
      <c r="B224" s="14" t="s">
        <v>247</v>
      </c>
      <c r="C224" s="26">
        <f>Allergan!$M224</f>
        <v>8444.7246228425138</v>
      </c>
      <c r="D224" s="26">
        <f>CVS!$P224</f>
        <v>18175.370861973355</v>
      </c>
      <c r="E224" s="26">
        <f>Distributors!$Z224</f>
        <v>76762.784464716999</v>
      </c>
      <c r="F224" s="26">
        <f>Janssen!$S224</f>
        <v>18044.146463412115</v>
      </c>
      <c r="G224" s="26">
        <v>0</v>
      </c>
      <c r="H224" s="26">
        <f>Kroger!P224</f>
        <v>9792.5220601499877</v>
      </c>
      <c r="I224" s="26">
        <v>0</v>
      </c>
      <c r="J224" s="26">
        <v>0</v>
      </c>
      <c r="K224" s="26">
        <f>Masters!C224</f>
        <v>0</v>
      </c>
      <c r="L224" s="62">
        <v>0</v>
      </c>
      <c r="M224" s="26">
        <v>0</v>
      </c>
      <c r="N224" s="26">
        <v>0</v>
      </c>
      <c r="O224" s="26">
        <f>Teva!$S224</f>
        <v>13796.802780788577</v>
      </c>
      <c r="P224" s="26"/>
      <c r="Q224" s="26">
        <f>'Walgreens National'!U224</f>
        <v>19748.810679712911</v>
      </c>
      <c r="R224" s="26">
        <f>Walmart!$H224</f>
        <v>11235.43</v>
      </c>
      <c r="S224" s="61">
        <f t="shared" si="3"/>
        <v>176000.59193359644</v>
      </c>
    </row>
    <row r="225" spans="1:19" x14ac:dyDescent="0.35">
      <c r="A225" s="3" t="s">
        <v>34</v>
      </c>
      <c r="B225" s="14" t="s">
        <v>248</v>
      </c>
      <c r="C225" s="26">
        <f>Allergan!$M225</f>
        <v>6984.8824133745584</v>
      </c>
      <c r="D225" s="26">
        <f>CVS!$P225</f>
        <v>15033.395643959884</v>
      </c>
      <c r="E225" s="26">
        <f>Distributors!$Z225</f>
        <v>63492.781625389711</v>
      </c>
      <c r="F225" s="26">
        <f>Janssen!$S225</f>
        <v>14924.833188778168</v>
      </c>
      <c r="G225" s="26">
        <v>0</v>
      </c>
      <c r="H225" s="26">
        <f>Kroger!P225</f>
        <v>8099.6853074049995</v>
      </c>
      <c r="I225" s="26">
        <v>0</v>
      </c>
      <c r="J225" s="26">
        <v>0</v>
      </c>
      <c r="K225" s="26">
        <f>Masters!C225</f>
        <v>0</v>
      </c>
      <c r="L225" s="62">
        <v>0</v>
      </c>
      <c r="M225" s="26">
        <v>0</v>
      </c>
      <c r="N225" s="26">
        <v>0</v>
      </c>
      <c r="O225" s="26">
        <f>Teva!$S225</f>
        <v>11411.744689688998</v>
      </c>
      <c r="P225" s="26"/>
      <c r="Q225" s="26">
        <f>'Walgreens National'!U225</f>
        <v>16334.828259371283</v>
      </c>
      <c r="R225" s="26">
        <f>Walmart!$H225</f>
        <v>9293.15</v>
      </c>
      <c r="S225" s="61">
        <f t="shared" si="3"/>
        <v>145575.3011279676</v>
      </c>
    </row>
    <row r="226" spans="1:19" x14ac:dyDescent="0.35">
      <c r="A226" s="3" t="s">
        <v>34</v>
      </c>
      <c r="B226" s="14" t="s">
        <v>249</v>
      </c>
      <c r="C226" s="26">
        <f>Allergan!$M226</f>
        <v>11825.930664744825</v>
      </c>
      <c r="D226" s="26">
        <f>CVS!$P226</f>
        <v>25452.679493620384</v>
      </c>
      <c r="E226" s="26">
        <f>Distributors!$Z226</f>
        <v>107498.12228756152</v>
      </c>
      <c r="F226" s="26">
        <f>Janssen!$S226</f>
        <v>25268.895276748317</v>
      </c>
      <c r="G226" s="26">
        <v>0</v>
      </c>
      <c r="H226" s="26">
        <f>Kroger!P226</f>
        <v>13713.384489533701</v>
      </c>
      <c r="I226" s="26">
        <v>0</v>
      </c>
      <c r="J226" s="26">
        <v>0</v>
      </c>
      <c r="K226" s="26">
        <f>Masters!C226</f>
        <v>0</v>
      </c>
      <c r="L226" s="62">
        <v>0</v>
      </c>
      <c r="M226" s="26">
        <v>0</v>
      </c>
      <c r="N226" s="26">
        <v>0</v>
      </c>
      <c r="O226" s="26">
        <f>Teva!$S226</f>
        <v>19320.952744908976</v>
      </c>
      <c r="P226" s="26"/>
      <c r="Q226" s="26">
        <f>'Walgreens National'!U226</f>
        <v>27656.093705898889</v>
      </c>
      <c r="R226" s="26">
        <f>Walmart!$H226</f>
        <v>15734.02</v>
      </c>
      <c r="S226" s="61">
        <f t="shared" si="3"/>
        <v>246470.07866301658</v>
      </c>
    </row>
    <row r="227" spans="1:19" x14ac:dyDescent="0.35">
      <c r="A227" s="3" t="s">
        <v>22</v>
      </c>
      <c r="B227" s="14" t="s">
        <v>250</v>
      </c>
      <c r="C227" s="26">
        <f>Allergan!$M227</f>
        <v>30542.951142508457</v>
      </c>
      <c r="D227" s="26">
        <f>CVS!$P227</f>
        <v>65736.883853882333</v>
      </c>
      <c r="E227" s="26">
        <f>Distributors!$Z227</f>
        <v>295469.63006301998</v>
      </c>
      <c r="F227" s="26">
        <f>Janssen!$S227</f>
        <v>68192.025792639979</v>
      </c>
      <c r="G227" s="26">
        <v>0</v>
      </c>
      <c r="H227" s="26">
        <f>Kroger!P227</f>
        <v>18896.124373515853</v>
      </c>
      <c r="I227" s="26">
        <v>0</v>
      </c>
      <c r="J227" s="26">
        <v>0</v>
      </c>
      <c r="K227" s="26">
        <f>Masters!C227</f>
        <v>0</v>
      </c>
      <c r="L227" s="62">
        <v>0</v>
      </c>
      <c r="M227" s="26">
        <f>Meijer!D14</f>
        <v>6979.7025000000003</v>
      </c>
      <c r="N227" s="26">
        <v>0</v>
      </c>
      <c r="O227" s="26">
        <f>Teva!$S227</f>
        <v>49900.406955068662</v>
      </c>
      <c r="P227" s="26"/>
      <c r="Q227" s="26">
        <f>'Walgreens National'!U227</f>
        <v>71427.67268401949</v>
      </c>
      <c r="R227" s="26">
        <f>Walmart!$H227</f>
        <v>40636.39</v>
      </c>
      <c r="S227" s="61">
        <f t="shared" si="3"/>
        <v>647781.78736465483</v>
      </c>
    </row>
    <row r="228" spans="1:19" x14ac:dyDescent="0.35">
      <c r="A228" s="3" t="s">
        <v>251</v>
      </c>
      <c r="B228" s="14" t="s">
        <v>251</v>
      </c>
      <c r="C228" s="26">
        <f>Allergan!$M228</f>
        <v>125967.31845293037</v>
      </c>
      <c r="D228" s="26">
        <f>CVS!$P228</f>
        <v>271116.54707398236</v>
      </c>
      <c r="E228" s="26">
        <f>Distributors!$Z228</f>
        <v>1218595.9873184226</v>
      </c>
      <c r="F228" s="26">
        <f>Janssen!$S228</f>
        <v>281242.18986305571</v>
      </c>
      <c r="G228" s="26">
        <v>0</v>
      </c>
      <c r="H228" s="26">
        <f>Kroger!P228</f>
        <v>77932.681887758125</v>
      </c>
      <c r="I228" s="26">
        <v>0</v>
      </c>
      <c r="J228" s="26">
        <v>0</v>
      </c>
      <c r="K228" s="26">
        <f>Masters!C228</f>
        <v>0</v>
      </c>
      <c r="L228" s="62">
        <v>0</v>
      </c>
      <c r="M228" s="26">
        <v>0</v>
      </c>
      <c r="N228" s="26">
        <v>0</v>
      </c>
      <c r="O228" s="26">
        <f>Teva!$S228</f>
        <v>205802.63503519548</v>
      </c>
      <c r="P228" s="26"/>
      <c r="Q228" s="26">
        <f>'Walgreens National'!U228</f>
        <v>294586.86028886779</v>
      </c>
      <c r="R228" s="26">
        <f>Walmart!$H228</f>
        <v>167595.35999999999</v>
      </c>
      <c r="S228" s="61">
        <f t="shared" si="3"/>
        <v>2642839.5799202123</v>
      </c>
    </row>
    <row r="229" spans="1:19" x14ac:dyDescent="0.35">
      <c r="A229" s="3" t="s">
        <v>75</v>
      </c>
      <c r="B229" s="14" t="s">
        <v>252</v>
      </c>
      <c r="C229" s="26">
        <f>Allergan!$M229</f>
        <v>74774.85998531428</v>
      </c>
      <c r="D229" s="26">
        <f>CVS!$P229</f>
        <v>160936.19915825306</v>
      </c>
      <c r="E229" s="26">
        <f>Distributors!$Z229</f>
        <v>679705.89120849106</v>
      </c>
      <c r="F229" s="26">
        <f>Janssen!$S229</f>
        <v>159774.0364377404</v>
      </c>
      <c r="G229" s="26">
        <v>0</v>
      </c>
      <c r="H229" s="26">
        <f>Kroger!P229</f>
        <v>86709.132657413487</v>
      </c>
      <c r="I229" s="26">
        <v>0</v>
      </c>
      <c r="J229" s="26">
        <v>0</v>
      </c>
      <c r="K229" s="26">
        <f>Masters!C229</f>
        <v>0</v>
      </c>
      <c r="L229" s="62">
        <v>0</v>
      </c>
      <c r="M229" s="26">
        <v>0</v>
      </c>
      <c r="N229" s="26">
        <v>0</v>
      </c>
      <c r="O229" s="26">
        <f>Teva!$S229</f>
        <v>122165.52671331918</v>
      </c>
      <c r="P229" s="26"/>
      <c r="Q229" s="26">
        <f>'Walgreens National'!U229</f>
        <v>174868.30325669216</v>
      </c>
      <c r="R229" s="26">
        <f>Walmart!$H229</f>
        <v>99485.48</v>
      </c>
      <c r="S229" s="61">
        <f t="shared" si="3"/>
        <v>1558419.4294172234</v>
      </c>
    </row>
    <row r="230" spans="1:19" x14ac:dyDescent="0.35">
      <c r="A230" s="3" t="s">
        <v>34</v>
      </c>
      <c r="B230" s="14" t="s">
        <v>253</v>
      </c>
      <c r="C230" s="26">
        <f>Allergan!$M230</f>
        <v>45424.447626436573</v>
      </c>
      <c r="D230" s="26">
        <f>CVS!$P230</f>
        <v>97765.962766871482</v>
      </c>
      <c r="E230" s="26">
        <f>Distributors!$Z230</f>
        <v>412909.59797400475</v>
      </c>
      <c r="F230" s="26">
        <f>Janssen!$S230</f>
        <v>97059.981050605827</v>
      </c>
      <c r="G230" s="26">
        <v>0</v>
      </c>
      <c r="H230" s="26">
        <f>Kroger!P230</f>
        <v>52674.30109398489</v>
      </c>
      <c r="I230" s="26">
        <v>0</v>
      </c>
      <c r="J230" s="26">
        <v>0</v>
      </c>
      <c r="K230" s="26">
        <f>Masters!C230</f>
        <v>0</v>
      </c>
      <c r="L230" s="62">
        <v>0</v>
      </c>
      <c r="M230" s="26">
        <v>0</v>
      </c>
      <c r="N230" s="26">
        <v>0</v>
      </c>
      <c r="O230" s="26">
        <f>Teva!$S230</f>
        <v>74213.449127825515</v>
      </c>
      <c r="P230" s="26"/>
      <c r="Q230" s="26">
        <f>'Walgreens National'!U230</f>
        <v>106229.47293595107</v>
      </c>
      <c r="R230" s="26">
        <f>Walmart!$H230</f>
        <v>60435.72</v>
      </c>
      <c r="S230" s="61">
        <f t="shared" si="3"/>
        <v>946712.9325756802</v>
      </c>
    </row>
    <row r="231" spans="1:19" x14ac:dyDescent="0.35">
      <c r="A231" s="3" t="s">
        <v>254</v>
      </c>
      <c r="B231" s="14" t="s">
        <v>255</v>
      </c>
      <c r="C231" s="26">
        <f>Allergan!$M231</f>
        <v>12108.987259090938</v>
      </c>
      <c r="D231" s="26">
        <f>CVS!$P231</f>
        <v>26061.895110520774</v>
      </c>
      <c r="E231" s="26">
        <f>Distributors!$Z231</f>
        <v>110071.09117355317</v>
      </c>
      <c r="F231" s="26">
        <f>Janssen!$S231</f>
        <v>25873.688971312218</v>
      </c>
      <c r="G231" s="26">
        <v>0</v>
      </c>
      <c r="H231" s="26">
        <f>Kroger!P231</f>
        <v>14041.615282807061</v>
      </c>
      <c r="I231" s="26">
        <v>0</v>
      </c>
      <c r="J231" s="26">
        <v>0</v>
      </c>
      <c r="K231" s="26">
        <f>Masters!C231</f>
        <v>0</v>
      </c>
      <c r="L231" s="62">
        <v>0</v>
      </c>
      <c r="M231" s="26">
        <v>0</v>
      </c>
      <c r="N231" s="26">
        <v>0</v>
      </c>
      <c r="O231" s="26">
        <f>Teva!$S231</f>
        <v>19783.397244845368</v>
      </c>
      <c r="P231" s="26"/>
      <c r="Q231" s="26">
        <f>'Walgreens National'!U231</f>
        <v>28318.046781445923</v>
      </c>
      <c r="R231" s="26">
        <f>Walmart!$H231</f>
        <v>16110.61</v>
      </c>
      <c r="S231" s="61">
        <f t="shared" si="3"/>
        <v>252369.33182357543</v>
      </c>
    </row>
    <row r="232" spans="1:19" x14ac:dyDescent="0.35">
      <c r="A232" s="3" t="s">
        <v>254</v>
      </c>
      <c r="B232" s="14" t="s">
        <v>256</v>
      </c>
      <c r="C232" s="26">
        <f>Allergan!$M232</f>
        <v>75373.925742533916</v>
      </c>
      <c r="D232" s="26">
        <f>CVS!$P232</f>
        <v>162225.53320792937</v>
      </c>
      <c r="E232" s="26">
        <f>Distributors!$Z232</f>
        <v>685151.36304595647</v>
      </c>
      <c r="F232" s="26">
        <f>Janssen!$S232</f>
        <v>161054.07933094862</v>
      </c>
      <c r="G232" s="26">
        <v>0</v>
      </c>
      <c r="H232" s="26">
        <f>Kroger!P232</f>
        <v>87403.802571850261</v>
      </c>
      <c r="I232" s="26">
        <v>0</v>
      </c>
      <c r="J232" s="26">
        <v>0</v>
      </c>
      <c r="K232" s="26">
        <f>Masters!C232</f>
        <v>0</v>
      </c>
      <c r="L232" s="62">
        <v>0</v>
      </c>
      <c r="M232" s="26">
        <v>0</v>
      </c>
      <c r="N232" s="26">
        <v>0</v>
      </c>
      <c r="O232" s="26">
        <f>Teva!$S232</f>
        <v>123144.25553790931</v>
      </c>
      <c r="P232" s="26"/>
      <c r="Q232" s="26">
        <f>'Walgreens National'!U232</f>
        <v>176269.25940388403</v>
      </c>
      <c r="R232" s="26">
        <f>Walmart!$H232</f>
        <v>100282.51999999999</v>
      </c>
      <c r="S232" s="61">
        <f t="shared" si="3"/>
        <v>1570904.7388410119</v>
      </c>
    </row>
    <row r="233" spans="1:19" x14ac:dyDescent="0.35">
      <c r="A233" s="3" t="s">
        <v>254</v>
      </c>
      <c r="B233" s="14" t="s">
        <v>254</v>
      </c>
      <c r="C233" s="26">
        <f>Allergan!$M233</f>
        <v>528625.00205918623</v>
      </c>
      <c r="D233" s="26">
        <f>CVS!$P233</f>
        <v>1137747.2781569082</v>
      </c>
      <c r="E233" s="26">
        <f>Distributors!$Z233</f>
        <v>5296506.4312907783</v>
      </c>
      <c r="F233" s="26">
        <f>Janssen!$S233</f>
        <v>1222391.2886467665</v>
      </c>
      <c r="G233" s="26">
        <v>0</v>
      </c>
      <c r="H233" s="26">
        <f>Kroger!P233</f>
        <v>327046.43359681003</v>
      </c>
      <c r="I233" s="26">
        <v>0</v>
      </c>
      <c r="J233" s="26">
        <v>0</v>
      </c>
      <c r="K233" s="26">
        <f>Masters!C233</f>
        <v>31939.97</v>
      </c>
      <c r="L233" s="62">
        <v>0</v>
      </c>
      <c r="M233" s="26">
        <v>0</v>
      </c>
      <c r="N233" s="26">
        <v>0</v>
      </c>
      <c r="O233" s="26">
        <f>Teva!$S233</f>
        <v>863655.88464154559</v>
      </c>
      <c r="P233" s="26"/>
      <c r="Q233" s="26">
        <f>'Walgreens National'!U233</f>
        <v>1236241.0799509564</v>
      </c>
      <c r="R233" s="26">
        <f>Walmart!$H233</f>
        <v>703318.11</v>
      </c>
      <c r="S233" s="61">
        <f t="shared" si="3"/>
        <v>11347471.478342952</v>
      </c>
    </row>
    <row r="234" spans="1:19" x14ac:dyDescent="0.35">
      <c r="A234" s="3" t="s">
        <v>257</v>
      </c>
      <c r="B234" s="14" t="s">
        <v>257</v>
      </c>
      <c r="C234" s="26">
        <f>Allergan!$M234</f>
        <v>113749.27008310793</v>
      </c>
      <c r="D234" s="26">
        <f>CVS!$P234</f>
        <v>244819.90989488765</v>
      </c>
      <c r="E234" s="26">
        <f>Distributors!$Z234</f>
        <v>1100399.7415590456</v>
      </c>
      <c r="F234" s="26">
        <f>Janssen!$S234</f>
        <v>253963.4519136567</v>
      </c>
      <c r="G234" s="26">
        <v>0</v>
      </c>
      <c r="H234" s="26">
        <f>Kroger!P234</f>
        <v>70373.695457660768</v>
      </c>
      <c r="I234" s="26">
        <v>0</v>
      </c>
      <c r="J234" s="26">
        <v>0</v>
      </c>
      <c r="K234" s="26">
        <f>Masters!C234</f>
        <v>641.97</v>
      </c>
      <c r="L234" s="62">
        <v>0</v>
      </c>
      <c r="M234" s="26">
        <v>0</v>
      </c>
      <c r="N234" s="26">
        <v>0</v>
      </c>
      <c r="O234" s="26">
        <f>Teva!$S234</f>
        <v>185841.05842202817</v>
      </c>
      <c r="P234" s="26"/>
      <c r="Q234" s="26">
        <f>'Walgreens National'!U234</f>
        <v>266013.76379901229</v>
      </c>
      <c r="R234" s="26">
        <f>Walmart!$H234</f>
        <v>151339.66</v>
      </c>
      <c r="S234" s="61">
        <f t="shared" si="3"/>
        <v>2387142.5211293991</v>
      </c>
    </row>
    <row r="235" spans="1:19" x14ac:dyDescent="0.35">
      <c r="A235" s="3" t="s">
        <v>77</v>
      </c>
      <c r="B235" s="14" t="s">
        <v>258</v>
      </c>
      <c r="C235" s="26">
        <f>Allergan!$M235</f>
        <v>32294.237843070321</v>
      </c>
      <c r="D235" s="26">
        <f>CVS!$P235</f>
        <v>69506.135939510277</v>
      </c>
      <c r="E235" s="26">
        <f>Distributors!$Z235</f>
        <v>312411.40804228332</v>
      </c>
      <c r="F235" s="26">
        <f>Janssen!$S235</f>
        <v>72102.046255808222</v>
      </c>
      <c r="G235" s="26">
        <v>0</v>
      </c>
      <c r="H235" s="26">
        <f>Kroger!P235</f>
        <v>19979.599122011648</v>
      </c>
      <c r="I235" s="26">
        <v>0</v>
      </c>
      <c r="J235" s="26">
        <v>0</v>
      </c>
      <c r="K235" s="26">
        <f>Masters!C235</f>
        <v>162.41999999999999</v>
      </c>
      <c r="L235" s="62">
        <v>0</v>
      </c>
      <c r="M235" s="26">
        <v>0</v>
      </c>
      <c r="N235" s="26">
        <v>0</v>
      </c>
      <c r="O235" s="26">
        <f>Teva!$S235</f>
        <v>52761.615138020243</v>
      </c>
      <c r="P235" s="26"/>
      <c r="Q235" s="26">
        <f>'Walgreens National'!U235</f>
        <v>75523.229277420847</v>
      </c>
      <c r="R235" s="26">
        <f>Walmart!$H235</f>
        <v>42966.42</v>
      </c>
      <c r="S235" s="61">
        <f t="shared" si="3"/>
        <v>677707.11161812476</v>
      </c>
    </row>
    <row r="236" spans="1:19" x14ac:dyDescent="0.35">
      <c r="A236" s="3" t="s">
        <v>259</v>
      </c>
      <c r="B236" s="14" t="s">
        <v>259</v>
      </c>
      <c r="C236" s="26">
        <f>Allergan!$M236</f>
        <v>13815.378989820121</v>
      </c>
      <c r="D236" s="26">
        <f>CVS!$P236</f>
        <v>29734.528567038655</v>
      </c>
      <c r="E236" s="26">
        <f>Distributors!$Z236</f>
        <v>125582.28091802067</v>
      </c>
      <c r="F236" s="26">
        <f>Janssen!$S236</f>
        <v>29519.824015501839</v>
      </c>
      <c r="G236" s="26">
        <v>0</v>
      </c>
      <c r="H236" s="26">
        <f>Kroger!P236</f>
        <v>16020.357359956695</v>
      </c>
      <c r="I236" s="26">
        <v>0</v>
      </c>
      <c r="J236" s="26">
        <v>0</v>
      </c>
      <c r="K236" s="26">
        <f>Masters!C236</f>
        <v>0</v>
      </c>
      <c r="L236" s="62">
        <v>0</v>
      </c>
      <c r="M236" s="26">
        <v>0</v>
      </c>
      <c r="N236" s="26">
        <v>0</v>
      </c>
      <c r="O236" s="26">
        <f>Teva!$S236</f>
        <v>22571.274431741549</v>
      </c>
      <c r="P236" s="26"/>
      <c r="Q236" s="26">
        <f>'Walgreens National'!U236</f>
        <v>32308.62105948363</v>
      </c>
      <c r="R236" s="26">
        <f>Walmart!$H236</f>
        <v>18380.91</v>
      </c>
      <c r="S236" s="61">
        <f t="shared" si="3"/>
        <v>287933.17534156307</v>
      </c>
    </row>
    <row r="237" spans="1:19" x14ac:dyDescent="0.35">
      <c r="A237" s="3" t="s">
        <v>28</v>
      </c>
      <c r="B237" s="14" t="s">
        <v>260</v>
      </c>
      <c r="C237" s="26">
        <f>Allergan!$M237</f>
        <v>923.4</v>
      </c>
      <c r="D237" s="26">
        <f>CVS!$P237</f>
        <v>12371.62</v>
      </c>
      <c r="E237" s="26">
        <f>Distributors!$Z237</f>
        <v>8195.6091259871409</v>
      </c>
      <c r="F237" s="26">
        <f>Janssen!$S237</f>
        <v>1926.4774111225815</v>
      </c>
      <c r="G237" s="26">
        <v>0</v>
      </c>
      <c r="H237" s="26">
        <f>Kroger!P237</f>
        <v>1045.5020087066221</v>
      </c>
      <c r="I237" s="26">
        <v>0</v>
      </c>
      <c r="J237" s="26">
        <v>0</v>
      </c>
      <c r="K237" s="26">
        <f>Masters!C237</f>
        <v>0</v>
      </c>
      <c r="L237" s="62">
        <v>0</v>
      </c>
      <c r="M237" s="26">
        <v>0</v>
      </c>
      <c r="N237" s="26">
        <v>0</v>
      </c>
      <c r="O237" s="26">
        <f>Teva!$S237</f>
        <v>1482.5739085329756</v>
      </c>
      <c r="P237" s="26"/>
      <c r="Q237" s="26">
        <f>'Walgreens National'!U237</f>
        <v>2228.59</v>
      </c>
      <c r="R237" s="26">
        <f>Walmart!$H237</f>
        <v>1199.55</v>
      </c>
      <c r="S237" s="61">
        <f t="shared" si="3"/>
        <v>29373.322454349323</v>
      </c>
    </row>
    <row r="238" spans="1:19" x14ac:dyDescent="0.35">
      <c r="A238" s="3" t="s">
        <v>75</v>
      </c>
      <c r="B238" s="14" t="s">
        <v>261</v>
      </c>
      <c r="C238" s="26">
        <f>Allergan!$M238</f>
        <v>88633.196402981353</v>
      </c>
      <c r="D238" s="26">
        <f>CVS!$P238</f>
        <v>190763.17175978486</v>
      </c>
      <c r="E238" s="26">
        <f>Distributors!$Z238</f>
        <v>805678.61506315402</v>
      </c>
      <c r="F238" s="26">
        <f>Janssen!$S238</f>
        <v>189385.62551588824</v>
      </c>
      <c r="G238" s="26">
        <v>0</v>
      </c>
      <c r="H238" s="26">
        <f>Kroger!P238</f>
        <v>102779.29578888101</v>
      </c>
      <c r="I238" s="26">
        <v>0</v>
      </c>
      <c r="J238" s="26">
        <v>0</v>
      </c>
      <c r="K238" s="26">
        <f>Masters!C238</f>
        <v>0</v>
      </c>
      <c r="L238" s="62">
        <v>0</v>
      </c>
      <c r="M238" s="26">
        <v>0</v>
      </c>
      <c r="N238" s="26">
        <v>0</v>
      </c>
      <c r="O238" s="26">
        <f>Teva!$S238</f>
        <v>144806.97143735268</v>
      </c>
      <c r="P238" s="26"/>
      <c r="Q238" s="26">
        <f>'Walgreens National'!U238</f>
        <v>207277.36624132775</v>
      </c>
      <c r="R238" s="26">
        <f>Walmart!$H238</f>
        <v>117923.54000000001</v>
      </c>
      <c r="S238" s="61">
        <f t="shared" si="3"/>
        <v>1847247.7822093698</v>
      </c>
    </row>
    <row r="239" spans="1:19" x14ac:dyDescent="0.35">
      <c r="A239" s="3" t="s">
        <v>234</v>
      </c>
      <c r="B239" s="14" t="s">
        <v>234</v>
      </c>
      <c r="C239" s="26">
        <f>Allergan!$M239</f>
        <v>237948.51117199991</v>
      </c>
      <c r="D239" s="26">
        <f>CVS!$P239</f>
        <v>512131.05209986877</v>
      </c>
      <c r="E239" s="26">
        <f>Distributors!$Z239</f>
        <v>2301891.4273965936</v>
      </c>
      <c r="F239" s="26">
        <f>Janssen!$S239</f>
        <v>531258.11608193093</v>
      </c>
      <c r="G239" s="26">
        <v>0</v>
      </c>
      <c r="H239" s="26">
        <f>Kroger!P239</f>
        <v>147212.50892307662</v>
      </c>
      <c r="I239" s="26">
        <v>0</v>
      </c>
      <c r="J239" s="26">
        <v>0</v>
      </c>
      <c r="K239" s="26">
        <f>Masters!C239</f>
        <v>0</v>
      </c>
      <c r="L239" s="62">
        <v>0</v>
      </c>
      <c r="M239" s="26">
        <v>0</v>
      </c>
      <c r="N239" s="26">
        <v>0</v>
      </c>
      <c r="O239" s="26">
        <f>Teva!$S239</f>
        <v>388755.04211467027</v>
      </c>
      <c r="P239" s="26"/>
      <c r="Q239" s="26">
        <f>'Walgreens National'!U239</f>
        <v>556465.78147496656</v>
      </c>
      <c r="R239" s="26">
        <f>Walmart!$H239</f>
        <v>316582.64</v>
      </c>
      <c r="S239" s="61">
        <f t="shared" si="3"/>
        <v>4992245.0792631069</v>
      </c>
    </row>
    <row r="240" spans="1:19" x14ac:dyDescent="0.35">
      <c r="A240" s="3" t="s">
        <v>34</v>
      </c>
      <c r="B240" s="14" t="s">
        <v>262</v>
      </c>
      <c r="C240" s="26">
        <f>Allergan!$M240</f>
        <v>4531.0753046182408</v>
      </c>
      <c r="D240" s="26">
        <f>CVS!$P240</f>
        <v>9752.1452678848873</v>
      </c>
      <c r="E240" s="26">
        <f>Distributors!$Z240</f>
        <v>41187.706718563917</v>
      </c>
      <c r="F240" s="26">
        <f>Janssen!$S240</f>
        <v>9681.740454272147</v>
      </c>
      <c r="G240" s="26">
        <v>0</v>
      </c>
      <c r="H240" s="26">
        <f>Kroger!P240</f>
        <v>5254.2568307478523</v>
      </c>
      <c r="I240" s="26">
        <v>0</v>
      </c>
      <c r="J240" s="26">
        <v>0</v>
      </c>
      <c r="K240" s="26">
        <f>Masters!C240</f>
        <v>0</v>
      </c>
      <c r="L240" s="62">
        <v>0</v>
      </c>
      <c r="M240" s="26">
        <v>0</v>
      </c>
      <c r="N240" s="26">
        <v>0</v>
      </c>
      <c r="O240" s="26">
        <f>Teva!$S240</f>
        <v>7402.7861155731525</v>
      </c>
      <c r="P240" s="26"/>
      <c r="Q240" s="26">
        <f>'Walgreens National'!U240</f>
        <v>10596.386203133548</v>
      </c>
      <c r="R240" s="26">
        <f>Walmart!$H240</f>
        <v>6028.4500000000007</v>
      </c>
      <c r="S240" s="61">
        <f t="shared" si="3"/>
        <v>94434.546894793733</v>
      </c>
    </row>
    <row r="241" spans="1:19" x14ac:dyDescent="0.35">
      <c r="A241" s="3" t="s">
        <v>34</v>
      </c>
      <c r="B241" s="14" t="s">
        <v>263</v>
      </c>
      <c r="C241" s="26">
        <f>Allergan!$M241</f>
        <v>68837.746328752575</v>
      </c>
      <c r="D241" s="26">
        <f>CVS!$P241</f>
        <v>148157.87354585977</v>
      </c>
      <c r="E241" s="26">
        <f>Distributors!$Z241</f>
        <v>625737.26980097627</v>
      </c>
      <c r="F241" s="26">
        <f>Janssen!$S241</f>
        <v>147087.98092945071</v>
      </c>
      <c r="G241" s="26">
        <v>0</v>
      </c>
      <c r="H241" s="26">
        <f>Kroger!P241</f>
        <v>79824.431207185844</v>
      </c>
      <c r="I241" s="26">
        <v>0</v>
      </c>
      <c r="J241" s="26">
        <v>0</v>
      </c>
      <c r="K241" s="26">
        <f>Masters!C241</f>
        <v>0</v>
      </c>
      <c r="L241" s="62">
        <v>0</v>
      </c>
      <c r="M241" s="26">
        <v>0</v>
      </c>
      <c r="N241" s="26">
        <v>0</v>
      </c>
      <c r="O241" s="26">
        <f>Teva!$S241</f>
        <v>112465.58685766718</v>
      </c>
      <c r="P241" s="26"/>
      <c r="Q241" s="26">
        <f>'Walgreens National'!U241</f>
        <v>160983.77142259278</v>
      </c>
      <c r="R241" s="26">
        <f>Walmart!$H241</f>
        <v>91586.34</v>
      </c>
      <c r="S241" s="61">
        <f t="shared" si="3"/>
        <v>1434681.000092485</v>
      </c>
    </row>
    <row r="242" spans="1:19" x14ac:dyDescent="0.35">
      <c r="A242" s="3" t="s">
        <v>34</v>
      </c>
      <c r="B242" s="14" t="s">
        <v>264</v>
      </c>
      <c r="C242" s="26">
        <f>Allergan!$M242</f>
        <v>19.95</v>
      </c>
      <c r="D242" s="26">
        <f>CVS!$P242</f>
        <v>2169.83</v>
      </c>
      <c r="E242" s="26">
        <f>Distributors!$Z242</f>
        <v>167.06</v>
      </c>
      <c r="F242" s="26">
        <f>Janssen!$S242</f>
        <v>44.14</v>
      </c>
      <c r="G242" s="26">
        <v>0</v>
      </c>
      <c r="H242" s="26">
        <f>Kroger!P242</f>
        <v>22.582755864780633</v>
      </c>
      <c r="I242" s="26">
        <v>0</v>
      </c>
      <c r="J242" s="26">
        <v>0</v>
      </c>
      <c r="K242" s="26">
        <f>Masters!C242</f>
        <v>0</v>
      </c>
      <c r="L242" s="62">
        <v>0</v>
      </c>
      <c r="M242" s="26">
        <v>0</v>
      </c>
      <c r="N242" s="26">
        <v>0</v>
      </c>
      <c r="O242" s="26">
        <f>Teva!$S242</f>
        <v>32.023472311939649</v>
      </c>
      <c r="P242" s="26"/>
      <c r="Q242" s="26">
        <f>'Walgreens National'!U242</f>
        <v>48.14</v>
      </c>
      <c r="R242" s="26">
        <f>Walmart!$H242</f>
        <v>25.909999999999997</v>
      </c>
      <c r="S242" s="61">
        <f t="shared" si="3"/>
        <v>2529.6362281767197</v>
      </c>
    </row>
    <row r="243" spans="1:19" x14ac:dyDescent="0.35">
      <c r="A243" s="3" t="s">
        <v>22</v>
      </c>
      <c r="B243" s="14" t="s">
        <v>265</v>
      </c>
      <c r="C243" s="26">
        <f>Allergan!$M243</f>
        <v>15545.138199085564</v>
      </c>
      <c r="D243" s="26">
        <f>CVS!$P243</f>
        <v>33457.44858968936</v>
      </c>
      <c r="E243" s="26">
        <f>Distributors!$Z243</f>
        <v>141305.84098380597</v>
      </c>
      <c r="F243" s="26">
        <f>Janssen!$S243</f>
        <v>33215.836484375264</v>
      </c>
      <c r="G243" s="26">
        <v>0</v>
      </c>
      <c r="H243" s="26">
        <f>Kroger!P243</f>
        <v>18026.186671547395</v>
      </c>
      <c r="I243" s="26">
        <v>0</v>
      </c>
      <c r="J243" s="26">
        <v>0</v>
      </c>
      <c r="K243" s="26">
        <f>Masters!C243</f>
        <v>0</v>
      </c>
      <c r="L243" s="62">
        <v>0</v>
      </c>
      <c r="M243" s="26">
        <v>0</v>
      </c>
      <c r="N243" s="26">
        <v>0</v>
      </c>
      <c r="O243" s="26">
        <f>Teva!$S243</f>
        <v>25397.304083343806</v>
      </c>
      <c r="P243" s="26"/>
      <c r="Q243" s="26">
        <f>'Walgreens National'!U243</f>
        <v>36353.82740647273</v>
      </c>
      <c r="R243" s="26">
        <f>Walmart!$H243</f>
        <v>20682.29</v>
      </c>
      <c r="S243" s="61">
        <f t="shared" si="3"/>
        <v>323983.8724183201</v>
      </c>
    </row>
    <row r="244" spans="1:19" x14ac:dyDescent="0.35">
      <c r="A244" s="3" t="s">
        <v>24</v>
      </c>
      <c r="B244" s="14" t="s">
        <v>266</v>
      </c>
      <c r="C244" s="26">
        <f>Allergan!$M244</f>
        <v>1863</v>
      </c>
      <c r="D244" s="26">
        <f>CVS!$P244</f>
        <v>1782.1</v>
      </c>
      <c r="E244" s="26">
        <f>Distributors!$Z244</f>
        <v>16535.110511284471</v>
      </c>
      <c r="F244" s="26">
        <f>Janssen!$S244</f>
        <v>3886.7968132627229</v>
      </c>
      <c r="G244" s="26">
        <v>0</v>
      </c>
      <c r="H244" s="26">
        <f>Kroger!P244</f>
        <v>2109.3611209598103</v>
      </c>
      <c r="I244" s="26">
        <v>0</v>
      </c>
      <c r="J244" s="26">
        <v>0</v>
      </c>
      <c r="K244" s="26">
        <f>Masters!C244</f>
        <v>0</v>
      </c>
      <c r="L244" s="62">
        <v>0</v>
      </c>
      <c r="M244" s="26">
        <v>0</v>
      </c>
      <c r="N244" s="26">
        <v>0</v>
      </c>
      <c r="O244" s="26">
        <f>Teva!$S244</f>
        <v>2991.1791039766722</v>
      </c>
      <c r="P244" s="26"/>
      <c r="Q244" s="26">
        <f>'Walgreens National'!U244</f>
        <v>4496.3</v>
      </c>
      <c r="R244" s="26">
        <f>Walmart!$H244</f>
        <v>2420.17</v>
      </c>
      <c r="S244" s="61">
        <f t="shared" si="3"/>
        <v>36084.017549483673</v>
      </c>
    </row>
    <row r="245" spans="1:19" x14ac:dyDescent="0.35">
      <c r="A245" s="3" t="s">
        <v>34</v>
      </c>
      <c r="B245" s="14" t="s">
        <v>267</v>
      </c>
      <c r="C245" s="26">
        <f>Allergan!$M245</f>
        <v>801.14</v>
      </c>
      <c r="D245" s="26">
        <f>CVS!$P245</f>
        <v>91372.23</v>
      </c>
      <c r="E245" s="26">
        <f>Distributors!$Z245</f>
        <v>7110.4877927221269</v>
      </c>
      <c r="F245" s="26">
        <f>Janssen!$S245</f>
        <v>1671.4154396879528</v>
      </c>
      <c r="G245" s="26">
        <v>0</v>
      </c>
      <c r="H245" s="26">
        <f>Kroger!P245</f>
        <v>907.07442965524478</v>
      </c>
      <c r="I245" s="26">
        <v>0</v>
      </c>
      <c r="J245" s="26">
        <v>0</v>
      </c>
      <c r="K245" s="26">
        <f>Masters!C245</f>
        <v>0</v>
      </c>
      <c r="L245" s="62">
        <v>0</v>
      </c>
      <c r="M245" s="26">
        <v>0</v>
      </c>
      <c r="N245" s="26">
        <v>0</v>
      </c>
      <c r="O245" s="26">
        <f>Teva!$S245</f>
        <v>1286.2767085143505</v>
      </c>
      <c r="P245" s="26"/>
      <c r="Q245" s="26">
        <f>'Walgreens National'!U245</f>
        <v>1933.51</v>
      </c>
      <c r="R245" s="26">
        <f>Walmart!$H245</f>
        <v>1040.73</v>
      </c>
      <c r="S245" s="61">
        <f t="shared" si="3"/>
        <v>106122.86437057966</v>
      </c>
    </row>
    <row r="246" spans="1:19" x14ac:dyDescent="0.35">
      <c r="A246" s="3" t="s">
        <v>121</v>
      </c>
      <c r="B246" s="14" t="s">
        <v>121</v>
      </c>
      <c r="C246" s="26">
        <f>Allergan!$M246</f>
        <v>654611.94867076131</v>
      </c>
      <c r="D246" s="26">
        <f>CVS!$P246</f>
        <v>1408906.0520273168</v>
      </c>
      <c r="E246" s="26">
        <f>Distributors!$Z246</f>
        <v>6332654.0432030614</v>
      </c>
      <c r="F246" s="26">
        <f>Janssen!$S246</f>
        <v>1461525.8551998655</v>
      </c>
      <c r="G246" s="26">
        <v>0</v>
      </c>
      <c r="H246" s="26">
        <f>Kroger!P246</f>
        <v>404991.25229934446</v>
      </c>
      <c r="I246" s="26">
        <v>0</v>
      </c>
      <c r="J246" s="26">
        <v>0</v>
      </c>
      <c r="K246" s="26">
        <f>Masters!C246</f>
        <v>9704.6200000000008</v>
      </c>
      <c r="L246" s="62">
        <v>0</v>
      </c>
      <c r="M246" s="26">
        <v>0</v>
      </c>
      <c r="N246" s="26">
        <v>0</v>
      </c>
      <c r="O246" s="26">
        <f>Teva!$S246</f>
        <v>1069490.5766609001</v>
      </c>
      <c r="P246" s="26"/>
      <c r="Q246" s="26">
        <f>'Walgreens National'!U246</f>
        <v>1531591.6937621809</v>
      </c>
      <c r="R246" s="26">
        <f>Walmart!$H246</f>
        <v>870939.58000000007</v>
      </c>
      <c r="S246" s="61">
        <f t="shared" si="3"/>
        <v>13744415.62182343</v>
      </c>
    </row>
    <row r="247" spans="1:19" x14ac:dyDescent="0.35">
      <c r="A247" s="3" t="s">
        <v>268</v>
      </c>
      <c r="B247" s="14" t="s">
        <v>268</v>
      </c>
      <c r="C247" s="26">
        <f>Allergan!$M247</f>
        <v>74638.687830382376</v>
      </c>
      <c r="D247" s="26">
        <f>CVS!$P247</f>
        <v>160643.10216283961</v>
      </c>
      <c r="E247" s="26">
        <f>Distributors!$Z247</f>
        <v>678467.9927905068</v>
      </c>
      <c r="F247" s="26">
        <f>Janssen!$S247</f>
        <v>159483.05769925247</v>
      </c>
      <c r="G247" s="26">
        <v>0</v>
      </c>
      <c r="H247" s="26">
        <f>Kroger!P247</f>
        <v>86551.216620331252</v>
      </c>
      <c r="I247" s="26">
        <v>0</v>
      </c>
      <c r="J247" s="26">
        <v>0</v>
      </c>
      <c r="K247" s="26">
        <f>Masters!C247</f>
        <v>0</v>
      </c>
      <c r="L247" s="62">
        <v>0</v>
      </c>
      <c r="M247" s="26">
        <v>0</v>
      </c>
      <c r="N247" s="26">
        <v>0</v>
      </c>
      <c r="O247" s="26">
        <f>Teva!$S247</f>
        <v>121943.03876624382</v>
      </c>
      <c r="P247" s="26"/>
      <c r="Q247" s="26">
        <f>'Walgreens National'!U247</f>
        <v>174549.83094790316</v>
      </c>
      <c r="R247" s="26">
        <f>Walmart!$H247</f>
        <v>99304.3</v>
      </c>
      <c r="S247" s="61">
        <f t="shared" si="3"/>
        <v>1555581.2268174593</v>
      </c>
    </row>
    <row r="248" spans="1:19" x14ac:dyDescent="0.35">
      <c r="A248" s="3" t="s">
        <v>75</v>
      </c>
      <c r="B248" s="14" t="s">
        <v>269</v>
      </c>
      <c r="C248" s="26">
        <f>Allergan!$M248</f>
        <v>59475.23467107748</v>
      </c>
      <c r="D248" s="26">
        <f>CVS!$P248</f>
        <v>128007.16330029997</v>
      </c>
      <c r="E248" s="26">
        <f>Distributors!$Z248</f>
        <v>540631.77343858115</v>
      </c>
      <c r="F248" s="26">
        <f>Janssen!$S248</f>
        <v>127082.79158279339</v>
      </c>
      <c r="G248" s="26">
        <v>0</v>
      </c>
      <c r="H248" s="26">
        <f>Kroger!P248</f>
        <v>68967.640357808661</v>
      </c>
      <c r="I248" s="26">
        <v>0</v>
      </c>
      <c r="J248" s="26">
        <v>0</v>
      </c>
      <c r="K248" s="26">
        <f>Masters!C248</f>
        <v>0</v>
      </c>
      <c r="L248" s="62">
        <v>0</v>
      </c>
      <c r="M248" s="26">
        <v>0</v>
      </c>
      <c r="N248" s="26">
        <v>0</v>
      </c>
      <c r="O248" s="26">
        <f>Teva!$S248</f>
        <v>97169.327694354273</v>
      </c>
      <c r="P248" s="26"/>
      <c r="Q248" s="26">
        <f>'Walgreens National'!U248</f>
        <v>139088.62670898656</v>
      </c>
      <c r="R248" s="26">
        <f>Walmart!$H248</f>
        <v>79129.83</v>
      </c>
      <c r="S248" s="61">
        <f t="shared" si="3"/>
        <v>1239552.3877539015</v>
      </c>
    </row>
    <row r="249" spans="1:19" x14ac:dyDescent="0.35">
      <c r="A249" s="3" t="s">
        <v>270</v>
      </c>
      <c r="B249" s="14" t="s">
        <v>270</v>
      </c>
      <c r="C249" s="26">
        <f>'Allergan Payments'!K17</f>
        <v>36338978.992140725</v>
      </c>
      <c r="D249" s="26">
        <f>'CVS Payments'!N11</f>
        <v>80561418.035858363</v>
      </c>
      <c r="E249" s="26">
        <f>'Distributor Payments'!X14</f>
        <v>312431475.02916402</v>
      </c>
      <c r="F249" s="26">
        <f>'Janssen Payments'!Q15</f>
        <v>75449410.62770237</v>
      </c>
      <c r="G249" s="26">
        <f>Endo!D6</f>
        <v>11185538.93</v>
      </c>
      <c r="H249" s="26">
        <f>Kroger!P283</f>
        <v>20956888.540200002</v>
      </c>
      <c r="I249" s="26">
        <f>'Litigation Costs Fund Payments'!C15</f>
        <v>19711614.809999999</v>
      </c>
      <c r="J249" s="26">
        <f>SUM(Mallinckrodt!E4:E11)</f>
        <v>7314219.3799999999</v>
      </c>
      <c r="K249" s="26">
        <f>Masters!C249</f>
        <v>0</v>
      </c>
      <c r="L249" s="62">
        <f>McKinsey!I4</f>
        <v>19557215.93</v>
      </c>
      <c r="M249" s="26">
        <v>0</v>
      </c>
      <c r="N249" s="26">
        <f>Publicis!D4</f>
        <v>11673940.6</v>
      </c>
      <c r="O249" s="26">
        <f>'Teva Payments'!Q17</f>
        <v>60938199.70705191</v>
      </c>
      <c r="P249" s="26">
        <f>'Walgreens Michigan Payments'!U10</f>
        <v>116015432.51000001</v>
      </c>
      <c r="Q249" s="26">
        <f>'Walgreens National Payments'!R15</f>
        <v>87602104.951081231</v>
      </c>
      <c r="R249" s="26">
        <f>'Walmart Payments'!F13</f>
        <v>45620683.18000003</v>
      </c>
      <c r="S249" s="61">
        <f t="shared" si="3"/>
        <v>905357121.22319865</v>
      </c>
    </row>
    <row r="250" spans="1:19" x14ac:dyDescent="0.35">
      <c r="A250" s="3" t="s">
        <v>75</v>
      </c>
      <c r="B250" s="14" t="s">
        <v>271</v>
      </c>
      <c r="C250" s="26">
        <f>Allergan!$M249</f>
        <v>308530.91525113996</v>
      </c>
      <c r="D250" s="26">
        <f>CVS!$P249</f>
        <v>664043.92980693211</v>
      </c>
      <c r="E250" s="26">
        <f>Distributors!$Z249</f>
        <v>2878102.5865382841</v>
      </c>
      <c r="F250" s="26">
        <f>Janssen!$S249</f>
        <v>664243.02902472974</v>
      </c>
      <c r="G250" s="26">
        <v>0</v>
      </c>
      <c r="H250" s="26">
        <f>Kroger!P249</f>
        <v>190879.99604462157</v>
      </c>
      <c r="I250" s="26">
        <v>0</v>
      </c>
      <c r="J250" s="26">
        <v>0</v>
      </c>
      <c r="K250" s="26">
        <f>Masters!C250</f>
        <v>0</v>
      </c>
      <c r="L250" s="62">
        <v>0</v>
      </c>
      <c r="M250" s="26">
        <v>0</v>
      </c>
      <c r="N250" s="26">
        <v>0</v>
      </c>
      <c r="O250" s="26">
        <f>Teva!$S249</f>
        <v>504071.0272446376</v>
      </c>
      <c r="P250" s="26"/>
      <c r="Q250" s="26">
        <f>'Walgreens National'!U249</f>
        <v>721529.61926182162</v>
      </c>
      <c r="R250" s="26">
        <f>Walmart!$H249</f>
        <v>410490.2</v>
      </c>
      <c r="S250" s="61">
        <f t="shared" si="3"/>
        <v>6341891.3031721674</v>
      </c>
    </row>
    <row r="251" spans="1:19" x14ac:dyDescent="0.35">
      <c r="A251" s="3" t="s">
        <v>268</v>
      </c>
      <c r="B251" s="14" t="s">
        <v>272</v>
      </c>
      <c r="C251" s="26">
        <f>Allergan!$M250</f>
        <v>10486.547642439133</v>
      </c>
      <c r="D251" s="26">
        <f>CVS!$P250</f>
        <v>22569.951042863824</v>
      </c>
      <c r="E251" s="26">
        <f>Distributors!$Z250</f>
        <v>95323.057198042923</v>
      </c>
      <c r="F251" s="26">
        <f>Janssen!$S250</f>
        <v>22406.967957866338</v>
      </c>
      <c r="G251" s="26">
        <v>0</v>
      </c>
      <c r="H251" s="26">
        <f>Kroger!P250</f>
        <v>12160.228106443923</v>
      </c>
      <c r="I251" s="26">
        <v>0</v>
      </c>
      <c r="J251" s="26">
        <v>0</v>
      </c>
      <c r="K251" s="26">
        <f>Masters!C251</f>
        <v>0</v>
      </c>
      <c r="L251" s="62">
        <v>0</v>
      </c>
      <c r="M251" s="26">
        <v>0</v>
      </c>
      <c r="N251" s="26">
        <v>0</v>
      </c>
      <c r="O251" s="26">
        <f>Teva!$S250</f>
        <v>17132.688757706088</v>
      </c>
      <c r="P251" s="26"/>
      <c r="Q251" s="26">
        <f>'Walgreens National'!U250</f>
        <v>24523.810639260926</v>
      </c>
      <c r="R251" s="26">
        <f>Walmart!$H250</f>
        <v>13952.010000000002</v>
      </c>
      <c r="S251" s="61">
        <f t="shared" si="3"/>
        <v>218555.26134462314</v>
      </c>
    </row>
    <row r="252" spans="1:19" x14ac:dyDescent="0.35">
      <c r="A252" s="3" t="s">
        <v>55</v>
      </c>
      <c r="B252" s="14" t="s">
        <v>273</v>
      </c>
      <c r="C252" s="26">
        <f>Allergan!$M251</f>
        <v>2576.0334359024728</v>
      </c>
      <c r="D252" s="26">
        <f>CVS!$P251</f>
        <v>5544.3426651115697</v>
      </c>
      <c r="E252" s="26">
        <f>Distributors!$Z251</f>
        <v>23416.233990273831</v>
      </c>
      <c r="F252" s="26">
        <f>Janssen!$S251</f>
        <v>5504.2964799165065</v>
      </c>
      <c r="G252" s="26">
        <v>0</v>
      </c>
      <c r="H252" s="26">
        <f>Kroger!P251</f>
        <v>2987.1754516727556</v>
      </c>
      <c r="I252" s="26">
        <v>0</v>
      </c>
      <c r="J252" s="26">
        <v>0</v>
      </c>
      <c r="K252" s="26">
        <f>Masters!C252</f>
        <v>0</v>
      </c>
      <c r="L252" s="62">
        <v>0</v>
      </c>
      <c r="M252" s="26">
        <v>0</v>
      </c>
      <c r="N252" s="26">
        <v>0</v>
      </c>
      <c r="O252" s="26">
        <f>Teva!$S251</f>
        <v>4208.6659780357668</v>
      </c>
      <c r="P252" s="26"/>
      <c r="Q252" s="26">
        <f>'Walgreens National'!U251</f>
        <v>6024.2964257570711</v>
      </c>
      <c r="R252" s="26">
        <f>Walmart!$H251</f>
        <v>3427.3199999999997</v>
      </c>
      <c r="S252" s="61">
        <f t="shared" si="3"/>
        <v>53688.36442666997</v>
      </c>
    </row>
    <row r="253" spans="1:19" x14ac:dyDescent="0.35">
      <c r="A253" s="3" t="s">
        <v>28</v>
      </c>
      <c r="B253" s="14" t="s">
        <v>274</v>
      </c>
      <c r="C253" s="26">
        <f>Allergan!$M252</f>
        <v>2172.61</v>
      </c>
      <c r="D253" s="26">
        <f>CVS!$P252</f>
        <v>9194.84</v>
      </c>
      <c r="E253" s="26">
        <f>Distributors!$Z252</f>
        <v>19282.991736384134</v>
      </c>
      <c r="F253" s="26">
        <f>Janssen!$S252</f>
        <v>4532.7264339180483</v>
      </c>
      <c r="G253" s="26">
        <v>0</v>
      </c>
      <c r="H253" s="26">
        <f>Kroger!P252</f>
        <v>2459.9038787109548</v>
      </c>
      <c r="I253" s="26">
        <v>0</v>
      </c>
      <c r="J253" s="26">
        <v>0</v>
      </c>
      <c r="K253" s="26">
        <f>Masters!C253</f>
        <v>0</v>
      </c>
      <c r="L253" s="62">
        <v>0</v>
      </c>
      <c r="M253" s="26">
        <v>0</v>
      </c>
      <c r="N253" s="26">
        <v>0</v>
      </c>
      <c r="O253" s="26">
        <f>Teva!$S252</f>
        <v>3488.2661895480933</v>
      </c>
      <c r="P253" s="26"/>
      <c r="Q253" s="26">
        <f>'Walgreens National'!U252</f>
        <v>5243.52</v>
      </c>
      <c r="R253" s="26">
        <f>Walmart!$H252</f>
        <v>2822.37</v>
      </c>
      <c r="S253" s="61">
        <f t="shared" si="3"/>
        <v>49197.228238561227</v>
      </c>
    </row>
    <row r="254" spans="1:19" x14ac:dyDescent="0.35">
      <c r="A254" s="3" t="s">
        <v>22</v>
      </c>
      <c r="B254" s="14" t="s">
        <v>275</v>
      </c>
      <c r="C254" s="26">
        <f>Allergan!$M253</f>
        <v>65873.99478433383</v>
      </c>
      <c r="D254" s="26">
        <f>CVS!$P253</f>
        <v>141779.04982869024</v>
      </c>
      <c r="E254" s="26">
        <f>Distributors!$Z253</f>
        <v>598796.6588978963</v>
      </c>
      <c r="F254" s="26">
        <f>Janssen!$S253</f>
        <v>140755.22946539556</v>
      </c>
      <c r="G254" s="26">
        <v>0</v>
      </c>
      <c r="H254" s="26">
        <f>Kroger!P253</f>
        <v>76387.653750675687</v>
      </c>
      <c r="I254" s="26">
        <v>0</v>
      </c>
      <c r="J254" s="26">
        <v>0</v>
      </c>
      <c r="K254" s="26">
        <f>Masters!C254</f>
        <v>0</v>
      </c>
      <c r="L254" s="62">
        <v>0</v>
      </c>
      <c r="M254" s="26">
        <v>0</v>
      </c>
      <c r="N254" s="26">
        <v>0</v>
      </c>
      <c r="O254" s="26">
        <f>Teva!$S253</f>
        <v>107623.47225117424</v>
      </c>
      <c r="P254" s="26"/>
      <c r="Q254" s="26">
        <f>'Walgreens National'!U253</f>
        <v>154052.73727693662</v>
      </c>
      <c r="R254" s="26">
        <f>Walmart!$H253</f>
        <v>87643.17</v>
      </c>
      <c r="S254" s="61">
        <f t="shared" si="3"/>
        <v>1372911.9662551025</v>
      </c>
    </row>
    <row r="255" spans="1:19" x14ac:dyDescent="0.35">
      <c r="A255" s="3" t="s">
        <v>83</v>
      </c>
      <c r="B255" s="14" t="s">
        <v>276</v>
      </c>
      <c r="C255" s="26">
        <f>Allergan!$M254</f>
        <v>932.99</v>
      </c>
      <c r="D255" s="26">
        <f>CVS!$P254</f>
        <v>5067.17</v>
      </c>
      <c r="E255" s="26">
        <f>Distributors!$Z254</f>
        <v>8280.7757814989418</v>
      </c>
      <c r="F255" s="26">
        <f>Janssen!$S254</f>
        <v>1946.5088637838389</v>
      </c>
      <c r="G255" s="26">
        <v>0</v>
      </c>
      <c r="H255" s="26">
        <f>Kroger!P254</f>
        <v>1056.3658239608687</v>
      </c>
      <c r="I255" s="26">
        <v>0</v>
      </c>
      <c r="J255" s="26">
        <v>0</v>
      </c>
      <c r="K255" s="26">
        <f>Masters!C255</f>
        <v>0</v>
      </c>
      <c r="L255" s="62">
        <v>0</v>
      </c>
      <c r="M255" s="26">
        <v>0</v>
      </c>
      <c r="N255" s="26">
        <v>0</v>
      </c>
      <c r="O255" s="26">
        <f>Teva!$S254</f>
        <v>1497.9793395210934</v>
      </c>
      <c r="P255" s="26"/>
      <c r="Q255" s="26">
        <f>'Walgreens National'!U254</f>
        <v>2251.7399999999998</v>
      </c>
      <c r="R255" s="26">
        <f>Walmart!$H254</f>
        <v>1212.01</v>
      </c>
      <c r="S255" s="61">
        <f t="shared" si="3"/>
        <v>22245.539808764745</v>
      </c>
    </row>
    <row r="256" spans="1:19" x14ac:dyDescent="0.35">
      <c r="A256" s="3" t="s">
        <v>254</v>
      </c>
      <c r="B256" s="14" t="s">
        <v>277</v>
      </c>
      <c r="C256" s="26">
        <f>Allergan!$M255</f>
        <v>2277.9299999999998</v>
      </c>
      <c r="D256" s="26">
        <f>CVS!$P255</f>
        <v>2839.63</v>
      </c>
      <c r="E256" s="26">
        <f>Distributors!$Z255</f>
        <v>20217.775368963736</v>
      </c>
      <c r="F256" s="26">
        <f>Janssen!$S255</f>
        <v>4752.4581916901016</v>
      </c>
      <c r="G256" s="26">
        <v>0</v>
      </c>
      <c r="H256" s="26">
        <f>Kroger!P255</f>
        <v>2579.1527886492345</v>
      </c>
      <c r="I256" s="26">
        <v>0</v>
      </c>
      <c r="J256" s="26">
        <v>0</v>
      </c>
      <c r="K256" s="26">
        <f>Masters!C256</f>
        <v>0</v>
      </c>
      <c r="L256" s="62">
        <v>0</v>
      </c>
      <c r="M256" s="26">
        <v>0</v>
      </c>
      <c r="N256" s="26">
        <v>0</v>
      </c>
      <c r="O256" s="26">
        <f>Teva!$S255</f>
        <v>3657.3670817732595</v>
      </c>
      <c r="P256" s="26"/>
      <c r="Q256" s="26">
        <f>'Walgreens National'!U255</f>
        <v>5497.71</v>
      </c>
      <c r="R256" s="26">
        <f>Walmart!$H255</f>
        <v>2959.18</v>
      </c>
      <c r="S256" s="61">
        <f t="shared" si="3"/>
        <v>44781.203431076327</v>
      </c>
    </row>
    <row r="257" spans="1:19" x14ac:dyDescent="0.35">
      <c r="A257" s="3" t="s">
        <v>278</v>
      </c>
      <c r="B257" s="14" t="s">
        <v>279</v>
      </c>
      <c r="C257" s="26">
        <f>Allergan!$M256</f>
        <v>20343.780873141044</v>
      </c>
      <c r="D257" s="26">
        <f>CVS!$P256</f>
        <v>43785.452816553523</v>
      </c>
      <c r="E257" s="26">
        <f>Distributors!$Z256</f>
        <v>196803.85959312494</v>
      </c>
      <c r="F257" s="26">
        <f>Janssen!$S256</f>
        <v>45420.753185734597</v>
      </c>
      <c r="G257" s="26">
        <v>0</v>
      </c>
      <c r="H257" s="26">
        <f>Kroger!P256</f>
        <v>12586.166665258108</v>
      </c>
      <c r="I257" s="26">
        <v>0</v>
      </c>
      <c r="J257" s="26">
        <v>0</v>
      </c>
      <c r="K257" s="26">
        <f>Masters!C257</f>
        <v>48.32</v>
      </c>
      <c r="L257" s="62">
        <v>0</v>
      </c>
      <c r="M257" s="26">
        <v>0</v>
      </c>
      <c r="N257" s="26">
        <v>0</v>
      </c>
      <c r="O257" s="26">
        <f>Teva!$S256</f>
        <v>33237.232961315276</v>
      </c>
      <c r="P257" s="26"/>
      <c r="Q257" s="26">
        <f>'Walgreens National'!U256</f>
        <v>47575.926309491639</v>
      </c>
      <c r="R257" s="26">
        <f>Walmart!$H256</f>
        <v>27066.739999999998</v>
      </c>
      <c r="S257" s="61">
        <f t="shared" si="3"/>
        <v>426868.23240461911</v>
      </c>
    </row>
    <row r="258" spans="1:19" x14ac:dyDescent="0.35">
      <c r="A258" s="3" t="s">
        <v>22</v>
      </c>
      <c r="B258" s="14" t="s">
        <v>280</v>
      </c>
      <c r="C258" s="26">
        <f>Allergan!$M257</f>
        <v>8431.0821384499031</v>
      </c>
      <c r="D258" s="26">
        <f>CVS!$P257</f>
        <v>18146.024090895018</v>
      </c>
      <c r="E258" s="26">
        <f>Distributors!$Z257</f>
        <v>76638.781287701466</v>
      </c>
      <c r="F258" s="26">
        <f>Janssen!$S257</f>
        <v>18014.981347552297</v>
      </c>
      <c r="G258" s="26">
        <v>0</v>
      </c>
      <c r="H258" s="26">
        <f>Kroger!P257</f>
        <v>9776.7037120893583</v>
      </c>
      <c r="I258" s="26">
        <v>0</v>
      </c>
      <c r="J258" s="26">
        <v>0</v>
      </c>
      <c r="K258" s="26">
        <f>Masters!C258</f>
        <v>0</v>
      </c>
      <c r="L258" s="62">
        <v>0</v>
      </c>
      <c r="M258" s="26">
        <v>0</v>
      </c>
      <c r="N258" s="26">
        <v>0</v>
      </c>
      <c r="O258" s="26">
        <f>Teva!$S257</f>
        <v>13774.511002135945</v>
      </c>
      <c r="P258" s="26"/>
      <c r="Q258" s="26">
        <f>'Walgreens National'!U257</f>
        <v>19716.901501484936</v>
      </c>
      <c r="R258" s="26">
        <f>Walmart!$H257</f>
        <v>11217.279999999999</v>
      </c>
      <c r="S258" s="61">
        <f t="shared" si="3"/>
        <v>175716.26508030895</v>
      </c>
    </row>
    <row r="259" spans="1:19" x14ac:dyDescent="0.35">
      <c r="A259" s="3" t="s">
        <v>34</v>
      </c>
      <c r="B259" s="14" t="s">
        <v>281</v>
      </c>
      <c r="C259" s="26">
        <f>Allergan!$M258</f>
        <v>41297.452496793965</v>
      </c>
      <c r="D259" s="26">
        <f>CVS!$P258</f>
        <v>88883.542451828514</v>
      </c>
      <c r="E259" s="26">
        <f>Distributors!$Z258</f>
        <v>375395.16847282072</v>
      </c>
      <c r="F259" s="26">
        <f>Janssen!$S258</f>
        <v>88241.698483716682</v>
      </c>
      <c r="G259" s="26">
        <v>0</v>
      </c>
      <c r="H259" s="26">
        <f>Kroger!P258</f>
        <v>47888.636645259518</v>
      </c>
      <c r="I259" s="26">
        <v>0</v>
      </c>
      <c r="J259" s="26">
        <v>0</v>
      </c>
      <c r="K259" s="26">
        <f>Masters!C259</f>
        <v>0</v>
      </c>
      <c r="L259" s="62">
        <v>0</v>
      </c>
      <c r="M259" s="26">
        <v>0</v>
      </c>
      <c r="N259" s="26">
        <v>0</v>
      </c>
      <c r="O259" s="26">
        <f>Teva!$S258</f>
        <v>67470.872710063864</v>
      </c>
      <c r="P259" s="26"/>
      <c r="Q259" s="26">
        <f>'Walgreens National'!U258</f>
        <v>96578.110453547066</v>
      </c>
      <c r="R259" s="26">
        <f>Walmart!$H258</f>
        <v>54944.9</v>
      </c>
      <c r="S259" s="61">
        <f t="shared" si="3"/>
        <v>860700.3817140304</v>
      </c>
    </row>
    <row r="260" spans="1:19" x14ac:dyDescent="0.35">
      <c r="A260" s="3" t="s">
        <v>282</v>
      </c>
      <c r="B260" s="14" t="s">
        <v>282</v>
      </c>
      <c r="C260" s="26">
        <f>Allergan!$M259</f>
        <v>145360.15498772589</v>
      </c>
      <c r="D260" s="26">
        <f>CVS!$P259</f>
        <v>312855.26852266787</v>
      </c>
      <c r="E260" s="26">
        <f>Distributors!$Z259</f>
        <v>1406200.3815154852</v>
      </c>
      <c r="F260" s="26">
        <f>Janssen!$S259</f>
        <v>324539.78617993923</v>
      </c>
      <c r="G260" s="26">
        <v>0</v>
      </c>
      <c r="H260" s="26">
        <f>Kroger!P259</f>
        <v>89930.516809279201</v>
      </c>
      <c r="I260" s="26">
        <v>0</v>
      </c>
      <c r="J260" s="26">
        <v>0</v>
      </c>
      <c r="K260" s="26">
        <f>Masters!C260</f>
        <v>2192.6799999999998</v>
      </c>
      <c r="L260" s="62">
        <v>0</v>
      </c>
      <c r="M260" s="26">
        <v>0</v>
      </c>
      <c r="N260" s="26">
        <v>0</v>
      </c>
      <c r="O260" s="26">
        <f>Teva!$S259</f>
        <v>237486.21905377792</v>
      </c>
      <c r="P260" s="26"/>
      <c r="Q260" s="26">
        <f>'Walgreens National'!U259</f>
        <v>339938.87653675996</v>
      </c>
      <c r="R260" s="26">
        <f>Walmart!$H259</f>
        <v>193396.89</v>
      </c>
      <c r="S260" s="61">
        <f t="shared" ref="S260:S283" si="4">SUM(C260:R260)</f>
        <v>3051900.7736056354</v>
      </c>
    </row>
    <row r="261" spans="1:19" x14ac:dyDescent="0.35">
      <c r="A261" s="3" t="s">
        <v>60</v>
      </c>
      <c r="B261" s="14" t="s">
        <v>283</v>
      </c>
      <c r="C261" s="26">
        <f>Allergan!$M260</f>
        <v>1726.73</v>
      </c>
      <c r="D261" s="26">
        <f>CVS!$P260</f>
        <v>20.420000000000002</v>
      </c>
      <c r="E261" s="26">
        <f>Distributors!$Z260</f>
        <v>15325.556298922049</v>
      </c>
      <c r="F261" s="26">
        <f>Janssen!$S260</f>
        <v>3602.4891517499709</v>
      </c>
      <c r="G261" s="26">
        <v>0</v>
      </c>
      <c r="H261" s="26">
        <f>Kroger!P260</f>
        <v>1955.0615468803799</v>
      </c>
      <c r="I261" s="26">
        <v>0</v>
      </c>
      <c r="J261" s="26">
        <v>0</v>
      </c>
      <c r="K261" s="26">
        <f>Masters!C261</f>
        <v>0</v>
      </c>
      <c r="L261" s="62">
        <v>0</v>
      </c>
      <c r="M261" s="26">
        <v>0</v>
      </c>
      <c r="N261" s="26">
        <v>0</v>
      </c>
      <c r="O261" s="26">
        <f>Teva!$S260</f>
        <v>2772.3746246711648</v>
      </c>
      <c r="P261" s="26"/>
      <c r="Q261" s="26">
        <f>'Walgreens National'!U260</f>
        <v>4167.3999999999996</v>
      </c>
      <c r="R261" s="26">
        <f>Walmart!$H260</f>
        <v>2243.13</v>
      </c>
      <c r="S261" s="61">
        <f t="shared" si="4"/>
        <v>31813.161622223564</v>
      </c>
    </row>
    <row r="262" spans="1:19" x14ac:dyDescent="0.35">
      <c r="A262" s="3" t="s">
        <v>168</v>
      </c>
      <c r="B262" s="14" t="s">
        <v>284</v>
      </c>
      <c r="C262" s="26">
        <f>Allergan!$M261</f>
        <v>9.18</v>
      </c>
      <c r="D262" s="26">
        <f>CVS!$P261</f>
        <v>3144.31</v>
      </c>
      <c r="E262" s="26">
        <f>Distributors!$Z261</f>
        <v>76.89</v>
      </c>
      <c r="F262" s="26">
        <f>Janssen!$S261</f>
        <v>20.32</v>
      </c>
      <c r="G262" s="26">
        <v>0</v>
      </c>
      <c r="H262" s="26">
        <f>Kroger!P261</f>
        <v>10.393694136553357</v>
      </c>
      <c r="I262" s="26">
        <v>0</v>
      </c>
      <c r="J262" s="26">
        <v>0</v>
      </c>
      <c r="K262" s="26">
        <f>Masters!C262</f>
        <v>0</v>
      </c>
      <c r="L262" s="62">
        <v>0</v>
      </c>
      <c r="M262" s="26">
        <v>0</v>
      </c>
      <c r="N262" s="26">
        <v>0</v>
      </c>
      <c r="O262" s="26">
        <f>Teva!$S261</f>
        <v>14.738775833811154</v>
      </c>
      <c r="P262" s="26"/>
      <c r="Q262" s="26">
        <f>'Walgreens National'!U261</f>
        <v>22.16</v>
      </c>
      <c r="R262" s="26">
        <f>Walmart!$H261</f>
        <v>11.93</v>
      </c>
      <c r="S262" s="61">
        <f t="shared" si="4"/>
        <v>3309.9224699703641</v>
      </c>
    </row>
    <row r="263" spans="1:19" x14ac:dyDescent="0.35">
      <c r="A263" s="3" t="s">
        <v>22</v>
      </c>
      <c r="B263" s="14" t="s">
        <v>285</v>
      </c>
      <c r="C263" s="26">
        <f>Allergan!$M262</f>
        <v>22526.561107855003</v>
      </c>
      <c r="D263" s="26">
        <f>CVS!$P262</f>
        <v>48483.395752357748</v>
      </c>
      <c r="E263" s="26">
        <f>Distributors!$Z262</f>
        <v>217919.83832837813</v>
      </c>
      <c r="F263" s="26">
        <f>Janssen!$S262</f>
        <v>50294.15767057518</v>
      </c>
      <c r="G263" s="26">
        <v>0</v>
      </c>
      <c r="H263" s="26">
        <f>Kroger!P262</f>
        <v>13936.593491817026</v>
      </c>
      <c r="I263" s="26">
        <v>0</v>
      </c>
      <c r="J263" s="26">
        <v>0</v>
      </c>
      <c r="K263" s="26">
        <f>Masters!C263</f>
        <v>0</v>
      </c>
      <c r="L263" s="62">
        <v>0</v>
      </c>
      <c r="M263" s="26">
        <f>Meijer!D15</f>
        <v>5147.79</v>
      </c>
      <c r="N263" s="26">
        <v>0</v>
      </c>
      <c r="O263" s="26">
        <f>Teva!$S262</f>
        <v>36803.402966726273</v>
      </c>
      <c r="P263" s="26"/>
      <c r="Q263" s="26">
        <f>'Walgreens National'!U262</f>
        <v>52680.556010546905</v>
      </c>
      <c r="R263" s="26">
        <f>Walmart!$H262</f>
        <v>29970.85</v>
      </c>
      <c r="S263" s="61">
        <f t="shared" si="4"/>
        <v>477763.14532825624</v>
      </c>
    </row>
    <row r="264" spans="1:19" x14ac:dyDescent="0.35">
      <c r="A264" s="3" t="s">
        <v>31</v>
      </c>
      <c r="B264" s="14" t="s">
        <v>31</v>
      </c>
      <c r="C264" s="26">
        <f>Allergan!$M263</f>
        <v>133722.8213604097</v>
      </c>
      <c r="D264" s="26">
        <f>CVS!$P263</f>
        <v>287825.50712089421</v>
      </c>
      <c r="E264" s="26">
        <f>Distributors!$Z263</f>
        <v>1215376.6234799598</v>
      </c>
      <c r="F264" s="26">
        <f>Janssen!$S263</f>
        <v>285227.31018665084</v>
      </c>
      <c r="G264" s="26">
        <v>0</v>
      </c>
      <c r="H264" s="26">
        <f>Kroger!P263</f>
        <v>154792.4346126843</v>
      </c>
      <c r="I264" s="26">
        <v>0</v>
      </c>
      <c r="J264" s="26">
        <v>0</v>
      </c>
      <c r="K264" s="26">
        <f>Masters!C264</f>
        <v>0</v>
      </c>
      <c r="L264" s="62">
        <v>0</v>
      </c>
      <c r="M264" s="26">
        <v>0</v>
      </c>
      <c r="N264" s="26">
        <v>0</v>
      </c>
      <c r="O264" s="26">
        <f>Teva!$S263</f>
        <v>218088.89266120264</v>
      </c>
      <c r="P264" s="26"/>
      <c r="Q264" s="26">
        <f>'Walgreens National'!U263</f>
        <v>312741.4756275409</v>
      </c>
      <c r="R264" s="26">
        <f>Walmart!$H263</f>
        <v>177600.68</v>
      </c>
      <c r="S264" s="61">
        <f t="shared" si="4"/>
        <v>2785375.7450493425</v>
      </c>
    </row>
    <row r="265" spans="1:19" x14ac:dyDescent="0.35">
      <c r="A265" s="3" t="s">
        <v>63</v>
      </c>
      <c r="B265" s="14" t="s">
        <v>286</v>
      </c>
      <c r="C265" s="26">
        <f>Allergan!$M264</f>
        <v>0</v>
      </c>
      <c r="D265" s="26">
        <f>CVS!$P264</f>
        <v>0</v>
      </c>
      <c r="E265" s="26">
        <f>Distributors!$Z264</f>
        <v>12186.224270471597</v>
      </c>
      <c r="F265" s="26">
        <f>Janssen!$S264</f>
        <v>3232.062456200671</v>
      </c>
      <c r="G265" s="26">
        <v>0</v>
      </c>
      <c r="H265" s="26">
        <f>Kroger!P264</f>
        <v>1754.0374120234251</v>
      </c>
      <c r="I265" s="26">
        <v>0</v>
      </c>
      <c r="J265" s="26">
        <v>0</v>
      </c>
      <c r="K265" s="26">
        <f>Masters!C265</f>
        <v>0</v>
      </c>
      <c r="L265" s="62">
        <v>0</v>
      </c>
      <c r="M265" s="26">
        <v>0</v>
      </c>
      <c r="N265" s="26">
        <v>0</v>
      </c>
      <c r="O265" s="26">
        <f>Teva!$S264</f>
        <v>0</v>
      </c>
      <c r="P265" s="26"/>
      <c r="Q265" s="26">
        <f>'Walgreens National'!U264</f>
        <v>3144.6431318530203</v>
      </c>
      <c r="R265" s="26">
        <f>Walmart!$H264</f>
        <v>0</v>
      </c>
      <c r="S265" s="61">
        <f t="shared" si="4"/>
        <v>20316.967270548714</v>
      </c>
    </row>
    <row r="266" spans="1:19" x14ac:dyDescent="0.35">
      <c r="A266" s="3" t="s">
        <v>14</v>
      </c>
      <c r="B266" s="14" t="s">
        <v>287</v>
      </c>
      <c r="C266" s="26">
        <f>Allergan!$M265</f>
        <v>10098.826189053903</v>
      </c>
      <c r="D266" s="26">
        <f>CVS!$P265</f>
        <v>21735.460929743309</v>
      </c>
      <c r="E266" s="26">
        <f>Distributors!$Z265</f>
        <v>91798.62444209597</v>
      </c>
      <c r="F266" s="26">
        <f>Janssen!$S265</f>
        <v>21578.499839985936</v>
      </c>
      <c r="G266" s="26">
        <v>0</v>
      </c>
      <c r="H266" s="26">
        <f>Kroger!P265</f>
        <v>11710.620602995277</v>
      </c>
      <c r="I266" s="26">
        <v>0</v>
      </c>
      <c r="J266" s="26">
        <v>0</v>
      </c>
      <c r="K266" s="26">
        <f>Masters!C266</f>
        <v>0</v>
      </c>
      <c r="L266" s="62">
        <v>0</v>
      </c>
      <c r="M266" s="26">
        <v>0</v>
      </c>
      <c r="N266" s="26">
        <v>0</v>
      </c>
      <c r="O266" s="26">
        <f>Teva!$S265</f>
        <v>16499.232936585857</v>
      </c>
      <c r="P266" s="26"/>
      <c r="Q266" s="26">
        <f>'Walgreens National'!U265</f>
        <v>23617.073061436306</v>
      </c>
      <c r="R266" s="26">
        <f>Walmart!$H265</f>
        <v>13436.150000000001</v>
      </c>
      <c r="S266" s="61">
        <f t="shared" si="4"/>
        <v>210474.48800189653</v>
      </c>
    </row>
    <row r="267" spans="1:19" x14ac:dyDescent="0.35">
      <c r="A267" s="3" t="s">
        <v>75</v>
      </c>
      <c r="B267" s="14" t="s">
        <v>288</v>
      </c>
      <c r="C267" s="26">
        <f>Allergan!$M266</f>
        <v>385182.08735541865</v>
      </c>
      <c r="D267" s="26">
        <f>CVS!$P266</f>
        <v>829018.44040829677</v>
      </c>
      <c r="E267" s="26">
        <f>Distributors!$Z266</f>
        <v>3593135.9955565832</v>
      </c>
      <c r="F267" s="26">
        <f>Janssen!$S266</f>
        <v>829267.03174007102</v>
      </c>
      <c r="G267" s="26">
        <v>0</v>
      </c>
      <c r="H267" s="26">
        <f>Kroger!P266</f>
        <v>238302.06264026789</v>
      </c>
      <c r="I267" s="26">
        <v>0</v>
      </c>
      <c r="J267" s="26">
        <v>0</v>
      </c>
      <c r="K267" s="26">
        <f>Masters!C267</f>
        <v>0</v>
      </c>
      <c r="L267" s="62">
        <v>0</v>
      </c>
      <c r="M267" s="26">
        <v>0</v>
      </c>
      <c r="N267" s="26">
        <v>0</v>
      </c>
      <c r="O267" s="26">
        <f>Teva!$S266</f>
        <v>629302.0122908284</v>
      </c>
      <c r="P267" s="26"/>
      <c r="Q267" s="26">
        <f>'Walgreens National'!U266</f>
        <v>900785.84727288317</v>
      </c>
      <c r="R267" s="26">
        <f>Walmart!$H266</f>
        <v>512472.05</v>
      </c>
      <c r="S267" s="61">
        <f t="shared" si="4"/>
        <v>7917465.5272643492</v>
      </c>
    </row>
    <row r="268" spans="1:19" x14ac:dyDescent="0.35">
      <c r="A268" s="3" t="s">
        <v>75</v>
      </c>
      <c r="B268" s="14" t="s">
        <v>289</v>
      </c>
      <c r="C268" s="26">
        <f>Allergan!$M267</f>
        <v>14152.853423006685</v>
      </c>
      <c r="D268" s="26">
        <f>CVS!$P267</f>
        <v>30460.874688513373</v>
      </c>
      <c r="E268" s="26">
        <f>Distributors!$Z267</f>
        <v>128649.93843657496</v>
      </c>
      <c r="F268" s="26">
        <f>Janssen!$S267</f>
        <v>30240.902519218391</v>
      </c>
      <c r="G268" s="26">
        <v>0</v>
      </c>
      <c r="H268" s="26">
        <f>Kroger!P267</f>
        <v>16411.693705943642</v>
      </c>
      <c r="I268" s="26">
        <v>0</v>
      </c>
      <c r="J268" s="26">
        <v>0</v>
      </c>
      <c r="K268" s="26">
        <f>Masters!C268</f>
        <v>0</v>
      </c>
      <c r="L268" s="62">
        <v>0</v>
      </c>
      <c r="M268" s="26">
        <v>0</v>
      </c>
      <c r="N268" s="26">
        <v>0</v>
      </c>
      <c r="O268" s="26">
        <f>Teva!$S267</f>
        <v>23122.626497548717</v>
      </c>
      <c r="P268" s="26"/>
      <c r="Q268" s="26">
        <f>'Walgreens National'!U267</f>
        <v>33097.839944770109</v>
      </c>
      <c r="R268" s="26">
        <f>Walmart!$H267</f>
        <v>18829.91</v>
      </c>
      <c r="S268" s="61">
        <f t="shared" si="4"/>
        <v>294966.63921557582</v>
      </c>
    </row>
    <row r="269" spans="1:19" x14ac:dyDescent="0.35">
      <c r="A269" s="3" t="s">
        <v>28</v>
      </c>
      <c r="B269" s="14" t="s">
        <v>28</v>
      </c>
      <c r="C269" s="26">
        <f>Allergan!$M268</f>
        <v>779354.80673971283</v>
      </c>
      <c r="D269" s="26">
        <f>CVS!$P268</f>
        <v>1677387.2218853254</v>
      </c>
      <c r="E269" s="26">
        <f>Distributors!$Z268</f>
        <v>7539404.7652246514</v>
      </c>
      <c r="F269" s="26">
        <f>Janssen!$S268</f>
        <v>1740034.2705779092</v>
      </c>
      <c r="G269" s="26">
        <v>0</v>
      </c>
      <c r="H269" s="26">
        <f>Kroger!P268</f>
        <v>482166.39585009904</v>
      </c>
      <c r="I269" s="26">
        <v>0</v>
      </c>
      <c r="J269" s="26">
        <v>0</v>
      </c>
      <c r="K269" s="26">
        <f>Masters!C269</f>
        <v>13253.5</v>
      </c>
      <c r="L269" s="62">
        <v>0</v>
      </c>
      <c r="M269" s="26">
        <v>0</v>
      </c>
      <c r="N269" s="26">
        <v>0</v>
      </c>
      <c r="O269" s="26">
        <f>Teva!$S268</f>
        <v>1273292.7228409224</v>
      </c>
      <c r="P269" s="26"/>
      <c r="Q269" s="26">
        <f>'Walgreens National'!U268</f>
        <v>1822597.1665135222</v>
      </c>
      <c r="R269" s="26">
        <f>Walmart!$H268</f>
        <v>1036905.85</v>
      </c>
      <c r="S269" s="61">
        <f t="shared" si="4"/>
        <v>16364396.699632144</v>
      </c>
    </row>
    <row r="270" spans="1:19" x14ac:dyDescent="0.35">
      <c r="A270" s="3" t="s">
        <v>34</v>
      </c>
      <c r="B270" s="14" t="s">
        <v>290</v>
      </c>
      <c r="C270" s="26">
        <f>Allergan!$M269</f>
        <v>38252.925528750799</v>
      </c>
      <c r="D270" s="26">
        <f>CVS!$P269</f>
        <v>82330.885504354621</v>
      </c>
      <c r="E270" s="26">
        <f>Distributors!$Z269</f>
        <v>347720.34701680107</v>
      </c>
      <c r="F270" s="26">
        <f>Janssen!$S269</f>
        <v>81736.357868895531</v>
      </c>
      <c r="G270" s="26">
        <v>0</v>
      </c>
      <c r="H270" s="26">
        <f>Kroger!P269</f>
        <v>44358.197609782866</v>
      </c>
      <c r="I270" s="26">
        <v>0</v>
      </c>
      <c r="J270" s="26">
        <v>0</v>
      </c>
      <c r="K270" s="26">
        <f>Masters!C270</f>
        <v>0</v>
      </c>
      <c r="L270" s="62">
        <v>0</v>
      </c>
      <c r="M270" s="26">
        <v>0</v>
      </c>
      <c r="N270" s="26">
        <v>0</v>
      </c>
      <c r="O270" s="26">
        <f>Teva!$S269</f>
        <v>62496.790590819037</v>
      </c>
      <c r="P270" s="26"/>
      <c r="Q270" s="26">
        <f>'Walgreens National'!U269</f>
        <v>89458.199569629418</v>
      </c>
      <c r="R270" s="26">
        <f>Walmart!$H269</f>
        <v>50894.26</v>
      </c>
      <c r="S270" s="61">
        <f t="shared" si="4"/>
        <v>797247.96368903341</v>
      </c>
    </row>
    <row r="271" spans="1:19" x14ac:dyDescent="0.35">
      <c r="A271" s="3" t="s">
        <v>22</v>
      </c>
      <c r="B271" s="14" t="s">
        <v>291</v>
      </c>
      <c r="C271" s="26">
        <f>Allergan!$M270</f>
        <v>27480.71584413543</v>
      </c>
      <c r="D271" s="26">
        <f>CVS!$P270</f>
        <v>59146.089629817805</v>
      </c>
      <c r="E271" s="26">
        <f>Distributors!$Z270</f>
        <v>265845.78198234679</v>
      </c>
      <c r="F271" s="26">
        <f>Janssen!$S270</f>
        <v>61355.080598901171</v>
      </c>
      <c r="G271" s="26">
        <v>0</v>
      </c>
      <c r="H271" s="26">
        <f>Kroger!P270</f>
        <v>17001.595008989287</v>
      </c>
      <c r="I271" s="26">
        <v>0</v>
      </c>
      <c r="J271" s="26">
        <v>0</v>
      </c>
      <c r="K271" s="26">
        <f>Masters!C271</f>
        <v>0</v>
      </c>
      <c r="L271" s="62">
        <v>0</v>
      </c>
      <c r="M271" s="26">
        <f>Meijer!D16</f>
        <v>6279.9149999999991</v>
      </c>
      <c r="N271" s="26">
        <v>0</v>
      </c>
      <c r="O271" s="26">
        <f>Teva!$S270</f>
        <v>44897.378961136877</v>
      </c>
      <c r="P271" s="26"/>
      <c r="Q271" s="26">
        <f>'Walgreens National'!U270</f>
        <v>64266.316990824438</v>
      </c>
      <c r="R271" s="26">
        <f>Walmart!$H270</f>
        <v>36562.18</v>
      </c>
      <c r="S271" s="61">
        <f t="shared" si="4"/>
        <v>582835.05401615181</v>
      </c>
    </row>
    <row r="272" spans="1:19" ht="18.75" customHeight="1" x14ac:dyDescent="0.35">
      <c r="A272" s="3" t="s">
        <v>22</v>
      </c>
      <c r="B272" s="14" t="s">
        <v>22</v>
      </c>
      <c r="C272" s="26">
        <f>Allergan!$M271</f>
        <v>3340735.9653785331</v>
      </c>
      <c r="D272" s="26">
        <f>CVS!$P271</f>
        <v>7190188.2571384609</v>
      </c>
      <c r="E272" s="26">
        <f>Distributors!$Z271</f>
        <v>33472177.802336324</v>
      </c>
      <c r="F272" s="26">
        <f>Janssen!$S271</f>
        <v>7725112.2235068455</v>
      </c>
      <c r="G272" s="26">
        <v>0</v>
      </c>
      <c r="H272" s="26">
        <f>Kroger!P271</f>
        <v>2066825.7857632386</v>
      </c>
      <c r="I272" s="26">
        <v>0</v>
      </c>
      <c r="J272" s="26">
        <f>Mallinckrodt!E16</f>
        <v>1604060.71</v>
      </c>
      <c r="K272" s="26">
        <f>Masters!C272</f>
        <v>0</v>
      </c>
      <c r="L272" s="62">
        <v>0</v>
      </c>
      <c r="M272" s="26">
        <v>0</v>
      </c>
      <c r="N272" s="26">
        <v>0</v>
      </c>
      <c r="O272" s="26">
        <f>Teva!$S271</f>
        <v>5458020.851744581</v>
      </c>
      <c r="P272" s="26"/>
      <c r="Q272" s="26">
        <f>'Walgreens National'!U271</f>
        <v>7812636.5748077519</v>
      </c>
      <c r="R272" s="26">
        <f>Walmart!$H271</f>
        <v>4444738.9000000004</v>
      </c>
      <c r="S272" s="61">
        <f t="shared" si="4"/>
        <v>73114497.070675746</v>
      </c>
    </row>
    <row r="273" spans="1:19" x14ac:dyDescent="0.35">
      <c r="A273" s="3" t="s">
        <v>34</v>
      </c>
      <c r="B273" s="14" t="s">
        <v>292</v>
      </c>
      <c r="C273" s="26">
        <f>Allergan!$M272</f>
        <v>39094.979438803952</v>
      </c>
      <c r="D273" s="26">
        <f>CVS!$P272</f>
        <v>98768.421218040516</v>
      </c>
      <c r="E273" s="26">
        <f>Distributors!$Z272</f>
        <v>417143.44256341277</v>
      </c>
      <c r="F273" s="26">
        <f>Janssen!$S272</f>
        <v>98055.184764153557</v>
      </c>
      <c r="G273" s="26">
        <v>0</v>
      </c>
      <c r="H273" s="26">
        <f>Kroger!P272</f>
        <v>53214.405573444317</v>
      </c>
      <c r="I273" s="26">
        <v>0</v>
      </c>
      <c r="J273" s="26">
        <v>0</v>
      </c>
      <c r="K273" s="26">
        <f>Masters!C273</f>
        <v>0</v>
      </c>
      <c r="L273" s="62">
        <v>0</v>
      </c>
      <c r="M273" s="26">
        <v>0</v>
      </c>
      <c r="N273" s="26">
        <v>0</v>
      </c>
      <c r="O273" s="26">
        <f>Teva!$S272</f>
        <v>74974.402885072239</v>
      </c>
      <c r="P273" s="26"/>
      <c r="Q273" s="26">
        <f>'Walgreens National'!U272</f>
        <v>107318.72374309055</v>
      </c>
      <c r="R273" s="26">
        <f>Walmart!$H272</f>
        <v>61055.4</v>
      </c>
      <c r="S273" s="61">
        <f t="shared" si="4"/>
        <v>949624.96018601791</v>
      </c>
    </row>
    <row r="274" spans="1:19" x14ac:dyDescent="0.35">
      <c r="A274" s="3" t="s">
        <v>22</v>
      </c>
      <c r="B274" s="14" t="s">
        <v>293</v>
      </c>
      <c r="C274" s="26">
        <f>Allergan!$M273</f>
        <v>106971.35837763082</v>
      </c>
      <c r="D274" s="26">
        <f>CVS!$P273</f>
        <v>230231.96489886206</v>
      </c>
      <c r="E274" s="26">
        <f>Distributors!$Z273</f>
        <v>1034830.8097150434</v>
      </c>
      <c r="F274" s="26">
        <f>Janssen!$S273</f>
        <v>238830.67168956841</v>
      </c>
      <c r="G274" s="26">
        <v>0</v>
      </c>
      <c r="H274" s="26">
        <f>Kroger!P273</f>
        <v>66180.37517655619</v>
      </c>
      <c r="I274" s="26">
        <v>0</v>
      </c>
      <c r="J274" s="26">
        <v>0</v>
      </c>
      <c r="K274" s="26">
        <f>Masters!C274</f>
        <v>1177.55</v>
      </c>
      <c r="L274" s="62">
        <v>0</v>
      </c>
      <c r="M274" s="26">
        <v>0</v>
      </c>
      <c r="N274" s="26">
        <v>0</v>
      </c>
      <c r="O274" s="26">
        <f>Teva!$S273</f>
        <v>174767.44590306582</v>
      </c>
      <c r="P274" s="26"/>
      <c r="Q274" s="26">
        <f>'Walgreens National'!U273</f>
        <v>250162.94620164554</v>
      </c>
      <c r="R274" s="26">
        <f>Walmart!$H273</f>
        <v>142321.85999999999</v>
      </c>
      <c r="S274" s="61">
        <f t="shared" si="4"/>
        <v>2245474.9819623721</v>
      </c>
    </row>
    <row r="275" spans="1:19" x14ac:dyDescent="0.35">
      <c r="A275" s="3" t="s">
        <v>66</v>
      </c>
      <c r="B275" s="14" t="s">
        <v>66</v>
      </c>
      <c r="C275" s="26">
        <f>Allergan!$M274</f>
        <v>97960.184939500672</v>
      </c>
      <c r="D275" s="26">
        <f>CVS!$P274</f>
        <v>210837.444503843</v>
      </c>
      <c r="E275" s="26">
        <f>Distributors!$Z274</f>
        <v>947657.65263304708</v>
      </c>
      <c r="F275" s="26">
        <f>Janssen!$S274</f>
        <v>218711.80180098282</v>
      </c>
      <c r="G275" s="26">
        <v>0</v>
      </c>
      <c r="H275" s="26">
        <f>Kroger!P274</f>
        <v>60605.403626585394</v>
      </c>
      <c r="I275" s="26">
        <v>0</v>
      </c>
      <c r="J275" s="26">
        <v>0</v>
      </c>
      <c r="K275" s="26">
        <f>Masters!C275</f>
        <v>162.41999999999999</v>
      </c>
      <c r="L275" s="62">
        <v>0</v>
      </c>
      <c r="M275" s="26">
        <v>0</v>
      </c>
      <c r="N275" s="26">
        <v>0</v>
      </c>
      <c r="O275" s="26">
        <f>Teva!$S274</f>
        <v>160045.20744105717</v>
      </c>
      <c r="P275" s="26"/>
      <c r="Q275" s="26">
        <f>'Walgreens National'!U274</f>
        <v>229089.45493722436</v>
      </c>
      <c r="R275" s="26">
        <f>Walmart!$H274</f>
        <v>130332.79999999999</v>
      </c>
      <c r="S275" s="61">
        <f t="shared" si="4"/>
        <v>2055402.3698822402</v>
      </c>
    </row>
    <row r="276" spans="1:19" x14ac:dyDescent="0.35">
      <c r="A276" s="3" t="s">
        <v>34</v>
      </c>
      <c r="B276" s="14" t="s">
        <v>294</v>
      </c>
      <c r="C276" s="26">
        <f>Allergan!$M275</f>
        <v>10243.620327810164</v>
      </c>
      <c r="D276" s="26">
        <f>CVS!$P275</f>
        <v>22047.113678567526</v>
      </c>
      <c r="E276" s="26">
        <f>Distributors!$Z275</f>
        <v>93114.866535515728</v>
      </c>
      <c r="F276" s="26">
        <f>Janssen!$S275</f>
        <v>21887.906669174463</v>
      </c>
      <c r="G276" s="26">
        <v>0</v>
      </c>
      <c r="H276" s="26">
        <f>Kroger!P275</f>
        <v>11878.534779134696</v>
      </c>
      <c r="I276" s="26">
        <v>0</v>
      </c>
      <c r="J276" s="26">
        <v>0</v>
      </c>
      <c r="K276" s="26">
        <f>Masters!C276</f>
        <v>0</v>
      </c>
      <c r="L276" s="62">
        <v>0</v>
      </c>
      <c r="M276" s="26">
        <v>0</v>
      </c>
      <c r="N276" s="26">
        <v>0</v>
      </c>
      <c r="O276" s="26">
        <f>Teva!$S275</f>
        <v>16735.80932140426</v>
      </c>
      <c r="P276" s="26"/>
      <c r="Q276" s="26">
        <f>'Walgreens National'!U275</f>
        <v>23955.710061626884</v>
      </c>
      <c r="R276" s="26">
        <f>Walmart!$H275</f>
        <v>13628.810000000001</v>
      </c>
      <c r="S276" s="61">
        <f t="shared" si="4"/>
        <v>213492.37137323373</v>
      </c>
    </row>
    <row r="277" spans="1:19" x14ac:dyDescent="0.35">
      <c r="A277" s="3" t="s">
        <v>34</v>
      </c>
      <c r="B277" s="14" t="s">
        <v>295</v>
      </c>
      <c r="C277" s="26">
        <f>Allergan!$M276</f>
        <v>6463.938089187428</v>
      </c>
      <c r="D277" s="26">
        <f>CVS!$P276</f>
        <v>13912.178289072932</v>
      </c>
      <c r="E277" s="26">
        <f>Distributors!$Z276</f>
        <v>58757.378923659824</v>
      </c>
      <c r="F277" s="26">
        <f>Janssen!$S276</f>
        <v>13811.713741507892</v>
      </c>
      <c r="G277" s="26">
        <v>0</v>
      </c>
      <c r="H277" s="26">
        <f>Kroger!P276</f>
        <v>7495.5963293236146</v>
      </c>
      <c r="I277" s="26">
        <v>0</v>
      </c>
      <c r="J277" s="26">
        <v>0</v>
      </c>
      <c r="K277" s="26">
        <f>Masters!C277</f>
        <v>0</v>
      </c>
      <c r="L277" s="62">
        <v>0</v>
      </c>
      <c r="M277" s="26">
        <v>0</v>
      </c>
      <c r="N277" s="26">
        <v>0</v>
      </c>
      <c r="O277" s="26">
        <f>Teva!$S276</f>
        <v>10560.633628677619</v>
      </c>
      <c r="P277" s="26"/>
      <c r="Q277" s="26">
        <f>'Walgreens National'!U276</f>
        <v>15116.545865832686</v>
      </c>
      <c r="R277" s="26">
        <f>Walmart!$H276</f>
        <v>8600.0499999999993</v>
      </c>
      <c r="S277" s="61">
        <f t="shared" si="4"/>
        <v>134718.034867262</v>
      </c>
    </row>
    <row r="278" spans="1:19" x14ac:dyDescent="0.35">
      <c r="A278" s="3" t="s">
        <v>22</v>
      </c>
      <c r="B278" s="14" t="s">
        <v>296</v>
      </c>
      <c r="C278" s="26">
        <f>Allergan!$M277</f>
        <v>8525.4367921836038</v>
      </c>
      <c r="D278" s="26">
        <f>CVS!$P277</f>
        <v>21538.418961961266</v>
      </c>
      <c r="E278" s="26">
        <f>Distributors!$Z277</f>
        <v>90966.410791098067</v>
      </c>
      <c r="F278" s="26">
        <f>Janssen!$S277</f>
        <v>21382.886676645921</v>
      </c>
      <c r="G278" s="26">
        <v>0</v>
      </c>
      <c r="H278" s="26">
        <f>Kroger!P277</f>
        <v>11604.458895107828</v>
      </c>
      <c r="I278" s="26">
        <v>0</v>
      </c>
      <c r="J278" s="26">
        <v>0</v>
      </c>
      <c r="K278" s="26">
        <f>Masters!C278</f>
        <v>0</v>
      </c>
      <c r="L278" s="62">
        <v>0</v>
      </c>
      <c r="M278" s="26">
        <v>0</v>
      </c>
      <c r="N278" s="26">
        <v>0</v>
      </c>
      <c r="O278" s="26">
        <f>Teva!$S277</f>
        <v>16349.664165170956</v>
      </c>
      <c r="P278" s="26"/>
      <c r="Q278" s="26">
        <f>'Walgreens National'!U277</f>
        <v>23402.986057413655</v>
      </c>
      <c r="R278" s="26">
        <f>Walmart!$H277</f>
        <v>13314.34</v>
      </c>
      <c r="S278" s="61">
        <f t="shared" si="4"/>
        <v>207084.60233958127</v>
      </c>
    </row>
    <row r="279" spans="1:19" x14ac:dyDescent="0.35">
      <c r="A279" s="3" t="s">
        <v>22</v>
      </c>
      <c r="B279" s="14" t="s">
        <v>297</v>
      </c>
      <c r="C279" s="26">
        <f>Allergan!$M278</f>
        <v>17091.009537712096</v>
      </c>
      <c r="D279" s="26">
        <f>CVS!$P278</f>
        <v>36784.597258222864</v>
      </c>
      <c r="E279" s="26">
        <f>Distributors!$Z278</f>
        <v>155357.88991748466</v>
      </c>
      <c r="F279" s="26">
        <f>Janssen!$S278</f>
        <v>36518.978207251137</v>
      </c>
      <c r="G279" s="26">
        <v>0</v>
      </c>
      <c r="H279" s="26">
        <f>Kroger!P278</f>
        <v>19818.789942933246</v>
      </c>
      <c r="I279" s="26">
        <v>0</v>
      </c>
      <c r="J279" s="26">
        <v>0</v>
      </c>
      <c r="K279" s="26">
        <f>Masters!C279</f>
        <v>0</v>
      </c>
      <c r="L279" s="62">
        <v>0</v>
      </c>
      <c r="M279" s="26">
        <v>0</v>
      </c>
      <c r="N279" s="26">
        <v>0</v>
      </c>
      <c r="O279" s="26">
        <f>Teva!$S278</f>
        <v>27922.925480651371</v>
      </c>
      <c r="P279" s="26"/>
      <c r="Q279" s="26">
        <f>'Walgreens National'!U278</f>
        <v>39969.001517837787</v>
      </c>
      <c r="R279" s="26">
        <f>Walmart!$H278</f>
        <v>22739.03</v>
      </c>
      <c r="S279" s="61">
        <f t="shared" si="4"/>
        <v>356202.2218620932</v>
      </c>
    </row>
    <row r="280" spans="1:19" x14ac:dyDescent="0.35">
      <c r="A280" s="3" t="s">
        <v>14</v>
      </c>
      <c r="B280" s="14" t="s">
        <v>298</v>
      </c>
      <c r="C280" s="26">
        <f>Allergan!$M279</f>
        <v>44696.586120037864</v>
      </c>
      <c r="D280" s="26">
        <f>CVS!$P279</f>
        <v>96199.405583254833</v>
      </c>
      <c r="E280" s="26">
        <f>Distributors!$Z279</f>
        <v>406293.3388236484</v>
      </c>
      <c r="F280" s="26">
        <f>Janssen!$S279</f>
        <v>95504.727197782631</v>
      </c>
      <c r="G280" s="26">
        <v>0</v>
      </c>
      <c r="H280" s="26">
        <f>Kroger!P279</f>
        <v>51830.273923647859</v>
      </c>
      <c r="I280" s="26">
        <v>0</v>
      </c>
      <c r="J280" s="26">
        <v>0</v>
      </c>
      <c r="K280" s="26">
        <f>Masters!C280</f>
        <v>0</v>
      </c>
      <c r="L280" s="62">
        <v>0</v>
      </c>
      <c r="M280" s="26">
        <v>0</v>
      </c>
      <c r="N280" s="26">
        <v>0</v>
      </c>
      <c r="O280" s="26">
        <f>Teva!$S279</f>
        <v>73024.287988287717</v>
      </c>
      <c r="P280" s="26"/>
      <c r="Q280" s="26">
        <f>'Walgreens National'!U279</f>
        <v>104527.30868658547</v>
      </c>
      <c r="R280" s="26">
        <f>Walmart!$H279</f>
        <v>59467.33</v>
      </c>
      <c r="S280" s="61">
        <f t="shared" si="4"/>
        <v>931543.25832324475</v>
      </c>
    </row>
    <row r="281" spans="1:19" x14ac:dyDescent="0.35">
      <c r="A281" s="3" t="s">
        <v>28</v>
      </c>
      <c r="B281" s="14" t="s">
        <v>299</v>
      </c>
      <c r="C281" s="26">
        <f>Allergan!$M280</f>
        <v>10127.393689923889</v>
      </c>
      <c r="D281" s="26">
        <f>CVS!$P280</f>
        <v>21796.966470189058</v>
      </c>
      <c r="E281" s="26">
        <f>Distributors!$Z280</f>
        <v>92058.369360430152</v>
      </c>
      <c r="F281" s="26">
        <f>Janssen!$S280</f>
        <v>21639.565005019493</v>
      </c>
      <c r="G281" s="26">
        <v>0</v>
      </c>
      <c r="H281" s="26">
        <f>Kroger!P280</f>
        <v>11743.757405486605</v>
      </c>
      <c r="I281" s="26">
        <v>0</v>
      </c>
      <c r="J281" s="26">
        <v>0</v>
      </c>
      <c r="K281" s="26">
        <f>Masters!C281</f>
        <v>0</v>
      </c>
      <c r="L281" s="62">
        <v>0</v>
      </c>
      <c r="M281" s="26">
        <v>0</v>
      </c>
      <c r="N281" s="26">
        <v>0</v>
      </c>
      <c r="O281" s="26">
        <f>Teva!$S280</f>
        <v>16545.918763835238</v>
      </c>
      <c r="P281" s="26"/>
      <c r="Q281" s="26">
        <f>'Walgreens National'!U280</f>
        <v>23683.910812748589</v>
      </c>
      <c r="R281" s="26">
        <f>Walmart!$H280</f>
        <v>13474.170000000002</v>
      </c>
      <c r="S281" s="61">
        <f t="shared" si="4"/>
        <v>211070.05150763303</v>
      </c>
    </row>
    <row r="282" spans="1:19" x14ac:dyDescent="0.35">
      <c r="A282" s="3" t="s">
        <v>28</v>
      </c>
      <c r="B282" s="14" t="s">
        <v>300</v>
      </c>
      <c r="C282" s="26">
        <f>Allergan!$M281</f>
        <v>15723.169007508999</v>
      </c>
      <c r="D282" s="26">
        <f>CVS!$P281</f>
        <v>33840.609963501316</v>
      </c>
      <c r="E282" s="26">
        <f>Distributors!$Z281</f>
        <v>142924.09710297256</v>
      </c>
      <c r="F282" s="26">
        <f>Janssen!$S281</f>
        <v>33596.230667174052</v>
      </c>
      <c r="G282" s="26">
        <v>0</v>
      </c>
      <c r="H282" s="26">
        <f>Kroger!P281</f>
        <v>18232.628257350578</v>
      </c>
      <c r="I282" s="26">
        <v>0</v>
      </c>
      <c r="J282" s="26">
        <v>0</v>
      </c>
      <c r="K282" s="26">
        <f>Masters!C282</f>
        <v>0</v>
      </c>
      <c r="L282" s="62">
        <v>0</v>
      </c>
      <c r="M282" s="26">
        <v>0</v>
      </c>
      <c r="N282" s="26">
        <v>0</v>
      </c>
      <c r="O282" s="26">
        <f>Teva!$S281</f>
        <v>25688.1676796641</v>
      </c>
      <c r="P282" s="26"/>
      <c r="Q282" s="26">
        <f>'Walgreens National'!U281</f>
        <v>36770.166453449048</v>
      </c>
      <c r="R282" s="26">
        <f>Walmart!$H281</f>
        <v>20919.16</v>
      </c>
      <c r="S282" s="61">
        <f t="shared" si="4"/>
        <v>327694.22913162067</v>
      </c>
    </row>
    <row r="283" spans="1:19" x14ac:dyDescent="0.35">
      <c r="A283" s="3" t="s">
        <v>24</v>
      </c>
      <c r="B283" s="14" t="s">
        <v>301</v>
      </c>
      <c r="C283" s="26">
        <f>Allergan!$M282</f>
        <v>1102.25</v>
      </c>
      <c r="D283" s="26">
        <f>CVS!$P282</f>
        <v>2451.92</v>
      </c>
      <c r="E283" s="26">
        <f>Distributors!$Z282</f>
        <v>9783.0265020303195</v>
      </c>
      <c r="F283" s="26">
        <f>Janssen!$S282</f>
        <v>2299.6391415248049</v>
      </c>
      <c r="G283" s="26">
        <v>0</v>
      </c>
      <c r="H283" s="26">
        <f>Kroger!P282</f>
        <v>1248.008881626489</v>
      </c>
      <c r="I283" s="26">
        <v>0</v>
      </c>
      <c r="J283" s="26">
        <v>0</v>
      </c>
      <c r="K283" s="26">
        <f>Masters!C283</f>
        <v>0</v>
      </c>
      <c r="L283" s="62">
        <v>0</v>
      </c>
      <c r="M283" s="26">
        <v>0</v>
      </c>
      <c r="N283" s="26">
        <v>0</v>
      </c>
      <c r="O283" s="26">
        <f>Teva!$S282</f>
        <v>1769.7387380496691</v>
      </c>
      <c r="P283" s="26"/>
      <c r="Q283" s="26">
        <f>'Walgreens National'!U282</f>
        <v>2660.25</v>
      </c>
      <c r="R283" s="26">
        <f>Walmart!$H282</f>
        <v>1431.8899999999999</v>
      </c>
      <c r="S283" s="61">
        <f t="shared" si="4"/>
        <v>22746.723263231284</v>
      </c>
    </row>
    <row r="284" spans="1:19" x14ac:dyDescent="0.35">
      <c r="S284" s="61">
        <f>SUM(S4:S283)</f>
        <v>1532694869.2933767</v>
      </c>
    </row>
    <row r="286" spans="1:19" x14ac:dyDescent="0.35">
      <c r="S286" s="61"/>
    </row>
  </sheetData>
  <sheetProtection algorithmName="SHA-512" hashValue="o59ivnDelMzWXG0D9Z5y6mD7Pc8AJD8I4qRA0ND4vvkEGDVaKpIMDPURubeR7kmXfhVqwTqN7a/rlHas9LbdSw==" saltValue="LCWgIAOq63TnCH8eYv0LlQ==" spinCount="100000" sheet="1" sort="0" autoFilter="0" pivotTables="0"/>
  <autoFilter ref="A3:S284" xr:uid="{F0DCA85E-7769-4197-AE8F-03B574469F6C}"/>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6F8FA-677C-454F-B756-52F6F9317143}">
  <sheetPr codeName="Sheet13"/>
  <dimension ref="A1:K25"/>
  <sheetViews>
    <sheetView workbookViewId="0">
      <selection activeCell="C18" sqref="C18"/>
    </sheetView>
  </sheetViews>
  <sheetFormatPr defaultColWidth="9.109375" defaultRowHeight="18" x14ac:dyDescent="0.35"/>
  <cols>
    <col min="1" max="1" width="76" style="3" bestFit="1" customWidth="1"/>
    <col min="2" max="2" width="18.6640625" style="3" bestFit="1" customWidth="1"/>
    <col min="3" max="9" width="19.109375" style="3" bestFit="1" customWidth="1"/>
    <col min="10" max="10" width="18.44140625" style="3" bestFit="1" customWidth="1"/>
    <col min="11" max="11" width="21.109375" style="3" bestFit="1" customWidth="1"/>
    <col min="12" max="16384" width="9.109375" style="3"/>
  </cols>
  <sheetData>
    <row r="1" spans="1:11" ht="22.8" x14ac:dyDescent="0.4">
      <c r="A1" s="38" t="s">
        <v>382</v>
      </c>
    </row>
    <row r="2" spans="1:11" s="11" customFormat="1" ht="52.2" x14ac:dyDescent="0.3">
      <c r="B2" s="11" t="s">
        <v>350</v>
      </c>
      <c r="C2" s="11" t="s">
        <v>311</v>
      </c>
      <c r="D2" s="11" t="s">
        <v>312</v>
      </c>
      <c r="E2" s="11" t="s">
        <v>313</v>
      </c>
      <c r="F2" s="11" t="s">
        <v>314</v>
      </c>
      <c r="G2" s="11" t="s">
        <v>315</v>
      </c>
      <c r="H2" s="11" t="s">
        <v>321</v>
      </c>
      <c r="I2" s="11" t="s">
        <v>322</v>
      </c>
      <c r="J2" s="17" t="s">
        <v>334</v>
      </c>
      <c r="K2" s="11" t="s">
        <v>13</v>
      </c>
    </row>
    <row r="3" spans="1:11" x14ac:dyDescent="0.35">
      <c r="A3" s="11" t="s">
        <v>351</v>
      </c>
      <c r="B3" s="11"/>
      <c r="C3" s="3">
        <v>2024</v>
      </c>
      <c r="D3" s="3">
        <v>2024</v>
      </c>
      <c r="E3" s="3">
        <v>2025</v>
      </c>
      <c r="F3" s="3">
        <v>2026</v>
      </c>
      <c r="G3" s="3">
        <v>2027</v>
      </c>
      <c r="H3" s="3">
        <v>2028</v>
      </c>
      <c r="I3" s="3">
        <v>2029</v>
      </c>
    </row>
    <row r="4" spans="1:11" s="7" customFormat="1" ht="18" customHeight="1" x14ac:dyDescent="0.35">
      <c r="A4" s="7" t="s">
        <v>383</v>
      </c>
      <c r="C4" s="7">
        <v>257026678.71000001</v>
      </c>
      <c r="D4" s="7">
        <v>113091738.63</v>
      </c>
      <c r="E4" s="7">
        <v>113091738.63</v>
      </c>
      <c r="F4" s="7">
        <v>81605970.489999995</v>
      </c>
      <c r="G4" s="7">
        <v>81605970.5</v>
      </c>
      <c r="H4" s="7">
        <v>81605970.5</v>
      </c>
      <c r="I4" s="7">
        <v>81605970.489999995</v>
      </c>
      <c r="K4" s="7">
        <f>SUM(C4:I4)</f>
        <v>809634037.95000005</v>
      </c>
    </row>
    <row r="5" spans="1:11" s="7" customFormat="1" ht="18" customHeight="1" x14ac:dyDescent="0.35">
      <c r="A5" s="7" t="s">
        <v>384</v>
      </c>
      <c r="D5" s="7">
        <v>143934940.08000001</v>
      </c>
      <c r="E5" s="7">
        <v>143934940.08000001</v>
      </c>
      <c r="F5" s="7">
        <v>143934940.08000001</v>
      </c>
      <c r="G5" s="7">
        <v>143934940.08000001</v>
      </c>
      <c r="H5" s="7">
        <v>143934940.08000001</v>
      </c>
      <c r="I5" s="7">
        <v>143934940.08000001</v>
      </c>
      <c r="K5" s="7">
        <f>SUM(C5:I5)</f>
        <v>863609640.48000014</v>
      </c>
    </row>
    <row r="6" spans="1:11" s="7" customFormat="1" ht="18" customHeight="1" x14ac:dyDescent="0.35">
      <c r="A6" s="7" t="s">
        <v>385</v>
      </c>
      <c r="F6" s="7">
        <v>31485768.140000001</v>
      </c>
      <c r="G6" s="7">
        <v>31485768.140000001</v>
      </c>
      <c r="H6" s="7">
        <v>31485768.140000001</v>
      </c>
      <c r="I6" s="7">
        <v>31485768.149999999</v>
      </c>
      <c r="K6" s="7">
        <f>SUM(C6:I6)</f>
        <v>125943072.56999999</v>
      </c>
    </row>
    <row r="7" spans="1:11" s="7" customFormat="1" ht="18" customHeight="1" x14ac:dyDescent="0.35">
      <c r="A7" s="7" t="s">
        <v>386</v>
      </c>
      <c r="C7" s="7">
        <f>SUM(C4:C6)</f>
        <v>257026678.71000001</v>
      </c>
      <c r="D7" s="7">
        <f t="shared" ref="D7:I7" si="0">SUM(D4:D6)</f>
        <v>257026678.71000001</v>
      </c>
      <c r="E7" s="7">
        <f t="shared" si="0"/>
        <v>257026678.71000001</v>
      </c>
      <c r="F7" s="7">
        <f t="shared" si="0"/>
        <v>257026678.70999998</v>
      </c>
      <c r="G7" s="7">
        <f t="shared" si="0"/>
        <v>257026678.72000003</v>
      </c>
      <c r="H7" s="7">
        <f t="shared" si="0"/>
        <v>257026678.72000003</v>
      </c>
      <c r="I7" s="7">
        <f t="shared" si="0"/>
        <v>257026678.72</v>
      </c>
      <c r="K7" s="7">
        <f>SUM(K4:K6)</f>
        <v>1799186751.0000002</v>
      </c>
    </row>
    <row r="8" spans="1:11" ht="18" customHeight="1" x14ac:dyDescent="0.35"/>
    <row r="9" spans="1:11" ht="18" customHeight="1" x14ac:dyDescent="0.35"/>
    <row r="10" spans="1:11" x14ac:dyDescent="0.35">
      <c r="A10" s="11" t="s">
        <v>379</v>
      </c>
      <c r="B10" s="35">
        <v>4.0333206530399998E-2</v>
      </c>
      <c r="C10" s="7">
        <f t="shared" ref="C10:I10" si="1">$B$10*C7</f>
        <v>10366710.116233194</v>
      </c>
      <c r="D10" s="7">
        <f t="shared" si="1"/>
        <v>10366710.116233194</v>
      </c>
      <c r="E10" s="7">
        <f t="shared" si="1"/>
        <v>10366710.116233194</v>
      </c>
      <c r="F10" s="7">
        <f t="shared" si="1"/>
        <v>10366710.116233192</v>
      </c>
      <c r="G10" s="7">
        <f t="shared" si="1"/>
        <v>10366710.116636528</v>
      </c>
      <c r="H10" s="7">
        <f t="shared" si="1"/>
        <v>10366710.116636528</v>
      </c>
      <c r="I10" s="7">
        <f t="shared" si="1"/>
        <v>10366710.116636526</v>
      </c>
      <c r="J10" s="7"/>
      <c r="K10" s="7">
        <f>SUM(C10:I10)</f>
        <v>72566970.814842358</v>
      </c>
    </row>
    <row r="11" spans="1:11" x14ac:dyDescent="0.35">
      <c r="A11" s="11" t="s">
        <v>445</v>
      </c>
      <c r="B11" s="35"/>
      <c r="C11" s="51">
        <v>6810.8201631278998</v>
      </c>
      <c r="D11" s="7"/>
      <c r="E11" s="7"/>
      <c r="F11" s="7"/>
      <c r="G11" s="7"/>
      <c r="H11" s="7"/>
      <c r="I11" s="7"/>
      <c r="J11" s="7"/>
      <c r="K11" s="7"/>
    </row>
    <row r="12" spans="1:11" x14ac:dyDescent="0.35">
      <c r="A12" s="11" t="s">
        <v>446</v>
      </c>
      <c r="B12" s="35"/>
      <c r="C12" s="7">
        <v>133675.69240527949</v>
      </c>
      <c r="D12" s="7"/>
      <c r="E12" s="7"/>
      <c r="F12" s="7"/>
      <c r="G12" s="7"/>
      <c r="H12" s="7"/>
      <c r="I12" s="7"/>
      <c r="J12" s="7"/>
      <c r="K12" s="7"/>
    </row>
    <row r="13" spans="1:11" x14ac:dyDescent="0.35">
      <c r="A13" s="11" t="s">
        <v>447</v>
      </c>
      <c r="B13" s="35"/>
      <c r="C13" s="7">
        <f>C10-C11+C12</f>
        <v>10493574.988475347</v>
      </c>
      <c r="D13" s="7"/>
      <c r="E13" s="7"/>
      <c r="F13" s="7"/>
      <c r="G13" s="7"/>
      <c r="H13" s="7"/>
      <c r="I13" s="7"/>
      <c r="J13" s="7"/>
      <c r="K13" s="7"/>
    </row>
    <row r="15" spans="1:11" x14ac:dyDescent="0.35">
      <c r="A15" s="3" t="s">
        <v>371</v>
      </c>
      <c r="B15" s="36">
        <v>0.5</v>
      </c>
      <c r="C15" s="7">
        <f>$B$15*C13</f>
        <v>5246787.4942376735</v>
      </c>
      <c r="D15" s="7">
        <f t="shared" ref="D15:I15" si="2">$B$15*D10</f>
        <v>5183355.0581165971</v>
      </c>
      <c r="E15" s="7">
        <f t="shared" si="2"/>
        <v>5183355.0581165971</v>
      </c>
      <c r="F15" s="7">
        <f t="shared" si="2"/>
        <v>5183355.0581165962</v>
      </c>
      <c r="G15" s="7">
        <f t="shared" si="2"/>
        <v>5183355.0583182639</v>
      </c>
      <c r="H15" s="7">
        <f t="shared" si="2"/>
        <v>5183355.0583182639</v>
      </c>
      <c r="I15" s="7">
        <f t="shared" si="2"/>
        <v>5183355.0583182629</v>
      </c>
      <c r="J15" s="7"/>
      <c r="K15" s="7">
        <f>SUM(B15:I15)</f>
        <v>36346918.343542255</v>
      </c>
    </row>
    <row r="16" spans="1:11" x14ac:dyDescent="0.35">
      <c r="A16" s="3" t="s">
        <v>373</v>
      </c>
      <c r="B16" s="36"/>
      <c r="C16" s="51">
        <v>41170.091401526501</v>
      </c>
      <c r="D16" s="7">
        <v>5538.54</v>
      </c>
      <c r="E16" s="7">
        <v>5538.54</v>
      </c>
      <c r="F16" s="7">
        <v>5538.54</v>
      </c>
      <c r="G16" s="7">
        <v>5538.54</v>
      </c>
      <c r="H16" s="7">
        <v>5538.54</v>
      </c>
      <c r="I16" s="7">
        <v>5538.54</v>
      </c>
      <c r="J16" s="7"/>
      <c r="K16" s="7"/>
    </row>
    <row r="17" spans="1:11" x14ac:dyDescent="0.35">
      <c r="A17" s="3" t="s">
        <v>359</v>
      </c>
      <c r="B17" s="36"/>
      <c r="C17" s="7">
        <f>C15-C16</f>
        <v>5205617.4028361468</v>
      </c>
      <c r="D17" s="7">
        <f t="shared" ref="D17:I17" si="3">D15+D16</f>
        <v>5188893.5981165972</v>
      </c>
      <c r="E17" s="7">
        <f t="shared" si="3"/>
        <v>5188893.5981165972</v>
      </c>
      <c r="F17" s="7">
        <f t="shared" si="3"/>
        <v>5188893.5981165962</v>
      </c>
      <c r="G17" s="7">
        <f t="shared" si="3"/>
        <v>5188893.5983182639</v>
      </c>
      <c r="H17" s="7">
        <f t="shared" si="3"/>
        <v>5188893.5983182639</v>
      </c>
      <c r="I17" s="7">
        <f t="shared" si="3"/>
        <v>5188893.598318263</v>
      </c>
      <c r="J17" s="7"/>
      <c r="K17" s="7">
        <f>SUM(B17:I17)</f>
        <v>36338978.992140725</v>
      </c>
    </row>
    <row r="18" spans="1:11" x14ac:dyDescent="0.35">
      <c r="B18" s="36"/>
      <c r="C18" s="7"/>
      <c r="D18" s="7"/>
      <c r="E18" s="7"/>
      <c r="F18" s="7"/>
      <c r="G18" s="7"/>
      <c r="H18" s="7"/>
      <c r="I18" s="7"/>
      <c r="J18" s="7"/>
      <c r="K18" s="7"/>
    </row>
    <row r="19" spans="1:11" x14ac:dyDescent="0.35">
      <c r="A19" s="3" t="s">
        <v>380</v>
      </c>
      <c r="B19" s="36">
        <v>0.5</v>
      </c>
      <c r="C19" s="7">
        <f>$B$19*C13</f>
        <v>5246787.4942376735</v>
      </c>
      <c r="D19" s="7">
        <f t="shared" ref="D19:I19" si="4">D10*0.5</f>
        <v>5183355.0581165971</v>
      </c>
      <c r="E19" s="7">
        <f t="shared" si="4"/>
        <v>5183355.0581165971</v>
      </c>
      <c r="F19" s="7">
        <f t="shared" si="4"/>
        <v>5183355.0581165962</v>
      </c>
      <c r="G19" s="7">
        <f t="shared" si="4"/>
        <v>5183355.0583182639</v>
      </c>
      <c r="H19" s="7">
        <f t="shared" si="4"/>
        <v>5183355.0583182639</v>
      </c>
      <c r="I19" s="7">
        <f t="shared" si="4"/>
        <v>5183355.0583182629</v>
      </c>
      <c r="J19" s="7"/>
      <c r="K19" s="7">
        <f>SUM(B19:I19)</f>
        <v>36346918.343542255</v>
      </c>
    </row>
    <row r="20" spans="1:11" x14ac:dyDescent="0.35">
      <c r="A20" s="37" t="s">
        <v>361</v>
      </c>
      <c r="B20" s="36">
        <v>3.0000000000000001E-3</v>
      </c>
      <c r="C20" s="51">
        <f>B20*C19</f>
        <v>15740.362482713021</v>
      </c>
      <c r="D20" s="51">
        <f t="shared" ref="D20:I20" si="5">D19*0.003</f>
        <v>15550.065174349791</v>
      </c>
      <c r="E20" s="51">
        <f t="shared" si="5"/>
        <v>15550.065174349791</v>
      </c>
      <c r="F20" s="51">
        <f t="shared" si="5"/>
        <v>15550.065174349789</v>
      </c>
      <c r="G20" s="51">
        <f t="shared" si="5"/>
        <v>15550.065174954792</v>
      </c>
      <c r="H20" s="51">
        <f t="shared" si="5"/>
        <v>15550.065174954792</v>
      </c>
      <c r="I20" s="51">
        <f t="shared" si="5"/>
        <v>15550.065174954789</v>
      </c>
      <c r="J20" s="34"/>
      <c r="K20" s="51">
        <f>SUM(B20:I20)</f>
        <v>109040.75653062676</v>
      </c>
    </row>
    <row r="21" spans="1:11" x14ac:dyDescent="0.35">
      <c r="A21" s="37" t="s">
        <v>362</v>
      </c>
      <c r="B21" s="36">
        <v>0.05</v>
      </c>
      <c r="C21" s="51">
        <f t="shared" ref="C21:I21" si="6">$B$21*C19</f>
        <v>262339.37471188366</v>
      </c>
      <c r="D21" s="51">
        <f t="shared" si="6"/>
        <v>259167.75290582987</v>
      </c>
      <c r="E21" s="51">
        <f t="shared" si="6"/>
        <v>259167.75290582987</v>
      </c>
      <c r="F21" s="51">
        <f t="shared" si="6"/>
        <v>259167.75290582981</v>
      </c>
      <c r="G21" s="51">
        <f t="shared" si="6"/>
        <v>259167.75291591321</v>
      </c>
      <c r="H21" s="51">
        <f t="shared" si="6"/>
        <v>259167.75291591321</v>
      </c>
      <c r="I21" s="51">
        <f t="shared" si="6"/>
        <v>259167.75291591315</v>
      </c>
      <c r="J21" s="34"/>
      <c r="K21" s="51">
        <f>SUM(B21:I21)</f>
        <v>1817345.9421771129</v>
      </c>
    </row>
    <row r="22" spans="1:11" x14ac:dyDescent="0.35">
      <c r="A22" s="37" t="s">
        <v>363</v>
      </c>
      <c r="B22" s="36">
        <v>0.15</v>
      </c>
      <c r="C22" s="51">
        <v>678143.92</v>
      </c>
      <c r="D22" s="51">
        <f t="shared" ref="D22:I22" si="7">$B$22*D19</f>
        <v>777503.25871748955</v>
      </c>
      <c r="E22" s="51">
        <f t="shared" si="7"/>
        <v>777503.25871748955</v>
      </c>
      <c r="F22" s="51">
        <f t="shared" si="7"/>
        <v>777503.25871748943</v>
      </c>
      <c r="G22" s="51">
        <f t="shared" si="7"/>
        <v>777503.2587477396</v>
      </c>
      <c r="H22" s="51">
        <f t="shared" si="7"/>
        <v>777503.2587477396</v>
      </c>
      <c r="I22" s="51">
        <f t="shared" si="7"/>
        <v>777503.25874773937</v>
      </c>
      <c r="J22" s="34"/>
      <c r="K22" s="51">
        <f>SUM(C22:I22)</f>
        <v>5343163.4723956874</v>
      </c>
    </row>
    <row r="23" spans="1:11" x14ac:dyDescent="0.35">
      <c r="A23" s="37" t="s">
        <v>364</v>
      </c>
      <c r="B23" s="36"/>
      <c r="C23" s="40">
        <v>41170.091401526486</v>
      </c>
      <c r="D23" s="51">
        <v>5538.54</v>
      </c>
      <c r="E23" s="51">
        <v>5538.54</v>
      </c>
      <c r="F23" s="51">
        <v>5538.54</v>
      </c>
      <c r="G23" s="51">
        <v>5538.54</v>
      </c>
      <c r="H23" s="51">
        <v>5538.54</v>
      </c>
      <c r="I23" s="51">
        <v>5538.54</v>
      </c>
      <c r="J23" s="34"/>
      <c r="K23" s="34"/>
    </row>
    <row r="24" spans="1:11" x14ac:dyDescent="0.35">
      <c r="A24" s="3" t="s">
        <v>381</v>
      </c>
      <c r="C24" s="7">
        <v>4290563.83</v>
      </c>
      <c r="D24" s="7">
        <f t="shared" ref="D24:I24" si="8">D19-(D20+D21+D22)</f>
        <v>4131133.9813189278</v>
      </c>
      <c r="E24" s="7">
        <f t="shared" si="8"/>
        <v>4131133.9813189278</v>
      </c>
      <c r="F24" s="7">
        <f t="shared" si="8"/>
        <v>4131133.9813189274</v>
      </c>
      <c r="G24" s="7">
        <f t="shared" si="8"/>
        <v>4131133.981479656</v>
      </c>
      <c r="H24" s="7">
        <f t="shared" si="8"/>
        <v>4131133.981479656</v>
      </c>
      <c r="I24" s="7">
        <f t="shared" si="8"/>
        <v>4131133.9814796555</v>
      </c>
      <c r="J24" s="39" t="s">
        <v>346</v>
      </c>
      <c r="K24" s="7">
        <f>SUM(C24:I24)</f>
        <v>29077367.718395751</v>
      </c>
    </row>
    <row r="25" spans="1:11" x14ac:dyDescent="0.35">
      <c r="A25" s="37"/>
      <c r="G25" s="7"/>
    </row>
  </sheetData>
  <sheetProtection algorithmName="SHA-512" hashValue="jHFX4fTWsODJaR20+EI4+pikHjJJIhAwrxYb8iywmwwxjHs0dDkjdIrjl9VssGPflPiPnyrB5RkS/ycBDrFN7w==" saltValue="1EL0QtfyDMjY9AGTlUUNIA==" spinCount="100000" sheet="1" sort="0" autoFilter="0" pivotTables="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E2FD-C49F-4274-84E1-B1CAD3146DCB}">
  <sheetPr codeName="Sheet14"/>
  <dimension ref="A1:N21"/>
  <sheetViews>
    <sheetView workbookViewId="0"/>
  </sheetViews>
  <sheetFormatPr defaultColWidth="9.109375" defaultRowHeight="18" x14ac:dyDescent="0.35"/>
  <cols>
    <col min="1" max="1" width="76" style="3" bestFit="1" customWidth="1"/>
    <col min="2" max="2" width="18.6640625" style="3" bestFit="1" customWidth="1"/>
    <col min="3" max="12" width="19.109375" style="3" bestFit="1" customWidth="1"/>
    <col min="13" max="13" width="19.5546875" style="3" bestFit="1" customWidth="1"/>
    <col min="14" max="14" width="21.109375" style="3" bestFit="1" customWidth="1"/>
    <col min="15" max="16384" width="9.109375" style="3"/>
  </cols>
  <sheetData>
    <row r="1" spans="1:14" ht="22.8" x14ac:dyDescent="0.4">
      <c r="A1" s="38" t="s">
        <v>387</v>
      </c>
    </row>
    <row r="2" spans="1:14" s="11" customFormat="1" ht="52.2" x14ac:dyDescent="0.3">
      <c r="B2" s="11" t="s">
        <v>350</v>
      </c>
      <c r="C2" s="11" t="s">
        <v>311</v>
      </c>
      <c r="D2" s="11" t="s">
        <v>312</v>
      </c>
      <c r="E2" s="11" t="s">
        <v>313</v>
      </c>
      <c r="F2" s="11" t="s">
        <v>314</v>
      </c>
      <c r="G2" s="11" t="s">
        <v>315</v>
      </c>
      <c r="H2" s="11" t="s">
        <v>321</v>
      </c>
      <c r="I2" s="11" t="s">
        <v>322</v>
      </c>
      <c r="J2" s="11" t="s">
        <v>323</v>
      </c>
      <c r="K2" s="11" t="s">
        <v>324</v>
      </c>
      <c r="L2" s="11" t="s">
        <v>325</v>
      </c>
      <c r="M2" s="17" t="s">
        <v>334</v>
      </c>
      <c r="N2" s="11" t="s">
        <v>13</v>
      </c>
    </row>
    <row r="3" spans="1:14" x14ac:dyDescent="0.35">
      <c r="A3" s="11" t="s">
        <v>351</v>
      </c>
      <c r="B3" s="11"/>
      <c r="C3" s="3">
        <v>2024</v>
      </c>
      <c r="D3" s="3">
        <v>2024</v>
      </c>
      <c r="E3" s="3">
        <v>2025</v>
      </c>
      <c r="F3" s="3">
        <v>2026</v>
      </c>
      <c r="G3" s="3">
        <v>2027</v>
      </c>
      <c r="H3" s="3">
        <v>2028</v>
      </c>
      <c r="I3" s="3">
        <v>2029</v>
      </c>
      <c r="J3" s="3">
        <v>2030</v>
      </c>
      <c r="K3" s="3">
        <v>2031</v>
      </c>
      <c r="L3" s="3">
        <v>2032</v>
      </c>
    </row>
    <row r="4" spans="1:14" s="7" customFormat="1" ht="18" customHeight="1" x14ac:dyDescent="0.35">
      <c r="A4" s="7" t="s">
        <v>388</v>
      </c>
      <c r="C4" s="7">
        <v>306016374</v>
      </c>
      <c r="D4" s="7">
        <v>81058849</v>
      </c>
      <c r="E4" s="7">
        <v>161989258</v>
      </c>
      <c r="F4" s="7">
        <v>161989258</v>
      </c>
      <c r="G4" s="7">
        <v>161989258</v>
      </c>
      <c r="H4" s="7">
        <v>161989257</v>
      </c>
      <c r="I4" s="7">
        <v>153896217</v>
      </c>
      <c r="J4" s="7">
        <v>145803177</v>
      </c>
      <c r="K4" s="7">
        <v>145674735</v>
      </c>
      <c r="L4" s="7">
        <v>145674735</v>
      </c>
      <c r="N4" s="7">
        <f>SUM(C4:L4)</f>
        <v>1626081118</v>
      </c>
    </row>
    <row r="5" spans="1:14" s="7" customFormat="1" ht="18" customHeight="1" x14ac:dyDescent="0.35">
      <c r="A5" s="7" t="s">
        <v>389</v>
      </c>
      <c r="C5" s="7">
        <v>0</v>
      </c>
      <c r="D5" s="7">
        <v>162912910</v>
      </c>
      <c r="E5" s="7">
        <v>325567678</v>
      </c>
      <c r="F5" s="7">
        <v>325567678</v>
      </c>
      <c r="G5" s="7">
        <v>325567678</v>
      </c>
      <c r="H5" s="7">
        <v>325567679</v>
      </c>
      <c r="I5" s="7">
        <v>309302202</v>
      </c>
      <c r="J5" s="7">
        <v>293036724</v>
      </c>
      <c r="K5" s="7">
        <v>292778585</v>
      </c>
      <c r="L5" s="7">
        <v>292778585</v>
      </c>
      <c r="N5" s="7">
        <f>SUM(C5:L5)</f>
        <v>2653079719</v>
      </c>
    </row>
    <row r="6" spans="1:14" s="7" customFormat="1" ht="18" customHeight="1" x14ac:dyDescent="0.35">
      <c r="A6" s="7" t="s">
        <v>390</v>
      </c>
      <c r="C6" s="7">
        <v>0</v>
      </c>
      <c r="D6" s="7">
        <v>0</v>
      </c>
      <c r="E6" s="7">
        <v>0</v>
      </c>
      <c r="F6" s="7">
        <v>0</v>
      </c>
      <c r="G6" s="7">
        <v>0</v>
      </c>
      <c r="H6" s="7">
        <v>0</v>
      </c>
      <c r="I6" s="7">
        <v>0</v>
      </c>
      <c r="J6" s="7">
        <v>0</v>
      </c>
      <c r="K6" s="7">
        <v>0</v>
      </c>
      <c r="L6" s="7">
        <v>0</v>
      </c>
      <c r="N6" s="7">
        <f>SUM(C6:L6)</f>
        <v>0</v>
      </c>
    </row>
    <row r="7" spans="1:14" s="7" customFormat="1" ht="18" customHeight="1" x14ac:dyDescent="0.35">
      <c r="A7" s="7" t="s">
        <v>391</v>
      </c>
      <c r="C7" s="7">
        <f>SUM(C4:C6)</f>
        <v>306016374</v>
      </c>
      <c r="D7" s="7">
        <f t="shared" ref="D7:L7" si="0">SUM(D4:D6)</f>
        <v>243971759</v>
      </c>
      <c r="E7" s="7">
        <f t="shared" si="0"/>
        <v>487556936</v>
      </c>
      <c r="F7" s="7">
        <f t="shared" si="0"/>
        <v>487556936</v>
      </c>
      <c r="G7" s="7">
        <f t="shared" si="0"/>
        <v>487556936</v>
      </c>
      <c r="H7" s="7">
        <f t="shared" si="0"/>
        <v>487556936</v>
      </c>
      <c r="I7" s="7">
        <f t="shared" si="0"/>
        <v>463198419</v>
      </c>
      <c r="J7" s="7">
        <f t="shared" si="0"/>
        <v>438839901</v>
      </c>
      <c r="K7" s="7">
        <f t="shared" si="0"/>
        <v>438453320</v>
      </c>
      <c r="L7" s="7">
        <f t="shared" si="0"/>
        <v>438453320</v>
      </c>
      <c r="N7" s="7">
        <f>SUM(N4:N6)</f>
        <v>4279160837</v>
      </c>
    </row>
    <row r="8" spans="1:14" ht="18" customHeight="1" x14ac:dyDescent="0.35"/>
    <row r="9" spans="1:14" x14ac:dyDescent="0.35">
      <c r="A9" s="11" t="s">
        <v>379</v>
      </c>
      <c r="B9" s="35">
        <v>3.7652904671999998E-2</v>
      </c>
      <c r="C9" s="7">
        <f t="shared" ref="C9:L9" si="1">$B$9*C7</f>
        <v>11522405.358293099</v>
      </c>
      <c r="D9" s="7">
        <f t="shared" si="1"/>
        <v>9186245.384287158</v>
      </c>
      <c r="E9" s="7">
        <f t="shared" si="1"/>
        <v>18357934.833380405</v>
      </c>
      <c r="F9" s="7">
        <f t="shared" si="1"/>
        <v>18357934.833380405</v>
      </c>
      <c r="G9" s="7">
        <f t="shared" si="1"/>
        <v>18357934.833380405</v>
      </c>
      <c r="H9" s="7">
        <f t="shared" si="1"/>
        <v>18357934.833380405</v>
      </c>
      <c r="I9" s="7">
        <f t="shared" si="1"/>
        <v>17440765.914828114</v>
      </c>
      <c r="J9" s="7">
        <f t="shared" si="1"/>
        <v>16523596.958622918</v>
      </c>
      <c r="K9" s="7">
        <f t="shared" si="1"/>
        <v>16509041.061081911</v>
      </c>
      <c r="L9" s="7">
        <f t="shared" si="1"/>
        <v>16509041.061081911</v>
      </c>
      <c r="M9" s="7"/>
      <c r="N9" s="7">
        <f>SUM(B9:L9)</f>
        <v>161122835.10936961</v>
      </c>
    </row>
    <row r="11" spans="1:14" x14ac:dyDescent="0.35">
      <c r="A11" s="3" t="s">
        <v>371</v>
      </c>
      <c r="B11" s="36">
        <v>0.5</v>
      </c>
      <c r="C11" s="7">
        <f>$B$11*C9</f>
        <v>5761202.6791465497</v>
      </c>
      <c r="D11" s="7">
        <f t="shared" ref="D11:L11" si="2">$B$11*D9</f>
        <v>4593122.692143579</v>
      </c>
      <c r="E11" s="7">
        <f t="shared" si="2"/>
        <v>9178967.4166902024</v>
      </c>
      <c r="F11" s="7">
        <f t="shared" si="2"/>
        <v>9178967.4166902024</v>
      </c>
      <c r="G11" s="7">
        <f t="shared" si="2"/>
        <v>9178967.4166902024</v>
      </c>
      <c r="H11" s="7">
        <f t="shared" si="2"/>
        <v>9178967.4166902024</v>
      </c>
      <c r="I11" s="7">
        <f t="shared" si="2"/>
        <v>8720382.9574140571</v>
      </c>
      <c r="J11" s="7">
        <f t="shared" si="2"/>
        <v>8261798.4793114588</v>
      </c>
      <c r="K11" s="7">
        <f t="shared" si="2"/>
        <v>8254520.5305409553</v>
      </c>
      <c r="L11" s="7">
        <f t="shared" si="2"/>
        <v>8254520.5305409553</v>
      </c>
      <c r="M11" s="7"/>
      <c r="N11" s="7">
        <f>SUM(B11:L11)</f>
        <v>80561418.035858363</v>
      </c>
    </row>
    <row r="12" spans="1:14" x14ac:dyDescent="0.35">
      <c r="A12" s="3" t="s">
        <v>373</v>
      </c>
      <c r="B12" s="36"/>
      <c r="C12" s="51">
        <v>100323.25795170599</v>
      </c>
      <c r="D12" s="7">
        <v>4907.8613636022174</v>
      </c>
      <c r="E12" s="7">
        <v>9807.9460448972677</v>
      </c>
      <c r="F12" s="7">
        <v>9807.9460448972677</v>
      </c>
      <c r="G12" s="7">
        <v>9807.9460448972677</v>
      </c>
      <c r="H12" s="7">
        <v>9807.9460448972677</v>
      </c>
      <c r="I12" s="7">
        <v>9317.9375908493239</v>
      </c>
      <c r="J12" s="7">
        <v>8827.9291166848616</v>
      </c>
      <c r="K12" s="7">
        <v>8820.1524544942076</v>
      </c>
      <c r="L12" s="7">
        <v>8820.1524544942076</v>
      </c>
      <c r="M12" s="7"/>
      <c r="N12" s="7"/>
    </row>
    <row r="13" spans="1:14" x14ac:dyDescent="0.35">
      <c r="A13" s="3" t="s">
        <v>359</v>
      </c>
      <c r="B13" s="36"/>
      <c r="C13" s="7">
        <f>C11-C12</f>
        <v>5660879.4211948439</v>
      </c>
      <c r="D13" s="7">
        <f>D11+D12</f>
        <v>4598030.5535071809</v>
      </c>
      <c r="E13" s="7">
        <f t="shared" ref="E13:L13" si="3">E11+E12</f>
        <v>9188775.3627351001</v>
      </c>
      <c r="F13" s="7">
        <f t="shared" si="3"/>
        <v>9188775.3627351001</v>
      </c>
      <c r="G13" s="7">
        <f t="shared" si="3"/>
        <v>9188775.3627351001</v>
      </c>
      <c r="H13" s="7">
        <f t="shared" si="3"/>
        <v>9188775.3627351001</v>
      </c>
      <c r="I13" s="7">
        <f t="shared" si="3"/>
        <v>8729700.8950049058</v>
      </c>
      <c r="J13" s="7">
        <f t="shared" si="3"/>
        <v>8270626.4084281437</v>
      </c>
      <c r="K13" s="7">
        <f t="shared" si="3"/>
        <v>8263340.6829954498</v>
      </c>
      <c r="L13" s="7">
        <f t="shared" si="3"/>
        <v>8263340.6829954498</v>
      </c>
      <c r="M13" s="7"/>
      <c r="N13" s="7">
        <f>SUM(B13:L13)</f>
        <v>80541020.095066383</v>
      </c>
    </row>
    <row r="14" spans="1:14" x14ac:dyDescent="0.35">
      <c r="B14" s="36"/>
      <c r="C14" s="7"/>
      <c r="D14" s="7"/>
      <c r="E14" s="7"/>
      <c r="F14" s="7"/>
      <c r="G14" s="7"/>
      <c r="H14" s="7"/>
      <c r="I14" s="7"/>
      <c r="J14" s="7"/>
      <c r="K14" s="7"/>
      <c r="L14" s="7"/>
      <c r="M14" s="7"/>
      <c r="N14" s="7"/>
    </row>
    <row r="15" spans="1:14" x14ac:dyDescent="0.35">
      <c r="A15" s="3" t="s">
        <v>380</v>
      </c>
      <c r="B15" s="36">
        <v>0.5</v>
      </c>
      <c r="C15" s="7">
        <f>$B$15*C9</f>
        <v>5761202.6791465497</v>
      </c>
      <c r="D15" s="7">
        <f t="shared" ref="D15:L15" si="4">D9*0.5</f>
        <v>4593122.692143579</v>
      </c>
      <c r="E15" s="7">
        <f t="shared" si="4"/>
        <v>9178967.4166902024</v>
      </c>
      <c r="F15" s="7">
        <f t="shared" si="4"/>
        <v>9178967.4166902024</v>
      </c>
      <c r="G15" s="7">
        <f t="shared" si="4"/>
        <v>9178967.4166902024</v>
      </c>
      <c r="H15" s="7">
        <f t="shared" si="4"/>
        <v>9178967.4166902024</v>
      </c>
      <c r="I15" s="7">
        <f t="shared" si="4"/>
        <v>8720382.9574140571</v>
      </c>
      <c r="J15" s="7">
        <f t="shared" si="4"/>
        <v>8261798.4793114588</v>
      </c>
      <c r="K15" s="7">
        <f t="shared" si="4"/>
        <v>8254520.5305409553</v>
      </c>
      <c r="L15" s="7">
        <f t="shared" si="4"/>
        <v>8254520.5305409553</v>
      </c>
      <c r="M15" s="7"/>
      <c r="N15" s="7">
        <f>SUM(B15:L15)</f>
        <v>80561418.035858363</v>
      </c>
    </row>
    <row r="16" spans="1:14" x14ac:dyDescent="0.35">
      <c r="A16" s="37" t="s">
        <v>361</v>
      </c>
      <c r="B16" s="36">
        <v>3.0000000000000001E-3</v>
      </c>
      <c r="C16" s="51">
        <f>B16*C15</f>
        <v>17283.608037439648</v>
      </c>
      <c r="D16" s="51">
        <f t="shared" ref="D16:L16" si="5">D15*0.003</f>
        <v>13779.368076430737</v>
      </c>
      <c r="E16" s="51">
        <f t="shared" si="5"/>
        <v>27536.902250070609</v>
      </c>
      <c r="F16" s="51">
        <f t="shared" si="5"/>
        <v>27536.902250070609</v>
      </c>
      <c r="G16" s="51">
        <f t="shared" si="5"/>
        <v>27536.902250070609</v>
      </c>
      <c r="H16" s="51">
        <f t="shared" si="5"/>
        <v>27536.902250070609</v>
      </c>
      <c r="I16" s="51">
        <f t="shared" si="5"/>
        <v>26161.148872242171</v>
      </c>
      <c r="J16" s="51">
        <f t="shared" si="5"/>
        <v>24785.395437934378</v>
      </c>
      <c r="K16" s="51">
        <f t="shared" si="5"/>
        <v>24763.561591622867</v>
      </c>
      <c r="L16" s="51">
        <f t="shared" si="5"/>
        <v>24763.561591622867</v>
      </c>
      <c r="M16" s="34"/>
      <c r="N16" s="51">
        <f>SUM(B16:L16)</f>
        <v>241684.25560757506</v>
      </c>
    </row>
    <row r="17" spans="1:14" x14ac:dyDescent="0.35">
      <c r="A17" s="37" t="s">
        <v>362</v>
      </c>
      <c r="B17" s="36">
        <v>0.05</v>
      </c>
      <c r="C17" s="51">
        <v>288060.12</v>
      </c>
      <c r="D17" s="51">
        <f t="shared" ref="D17:L17" si="6">$B$17*D15</f>
        <v>229656.13460717897</v>
      </c>
      <c r="E17" s="51">
        <f t="shared" si="6"/>
        <v>458948.37083451013</v>
      </c>
      <c r="F17" s="51">
        <f t="shared" si="6"/>
        <v>458948.37083451013</v>
      </c>
      <c r="G17" s="51">
        <f t="shared" si="6"/>
        <v>458948.37083451013</v>
      </c>
      <c r="H17" s="51">
        <f t="shared" si="6"/>
        <v>458948.37083451013</v>
      </c>
      <c r="I17" s="51">
        <f t="shared" si="6"/>
        <v>436019.1478707029</v>
      </c>
      <c r="J17" s="51">
        <f t="shared" si="6"/>
        <v>413089.92396557296</v>
      </c>
      <c r="K17" s="51">
        <f t="shared" si="6"/>
        <v>412726.0265270478</v>
      </c>
      <c r="L17" s="51">
        <f t="shared" si="6"/>
        <v>412726.0265270478</v>
      </c>
      <c r="M17" s="34"/>
      <c r="N17" s="51">
        <f>SUM(B17:L17)</f>
        <v>4028070.9128355901</v>
      </c>
    </row>
    <row r="18" spans="1:14" x14ac:dyDescent="0.35">
      <c r="A18" s="37" t="s">
        <v>363</v>
      </c>
      <c r="B18" s="36">
        <v>0.15</v>
      </c>
      <c r="C18" s="51">
        <v>1368580.09</v>
      </c>
      <c r="D18" s="51">
        <f t="shared" ref="D18:L18" si="7">$B$18*D15</f>
        <v>688968.40382153681</v>
      </c>
      <c r="E18" s="51">
        <f t="shared" si="7"/>
        <v>1376845.1125035302</v>
      </c>
      <c r="F18" s="51">
        <f t="shared" si="7"/>
        <v>1376845.1125035302</v>
      </c>
      <c r="G18" s="51">
        <f t="shared" si="7"/>
        <v>1376845.1125035302</v>
      </c>
      <c r="H18" s="51">
        <f t="shared" si="7"/>
        <v>1376845.1125035302</v>
      </c>
      <c r="I18" s="51">
        <f t="shared" si="7"/>
        <v>1308057.4436121085</v>
      </c>
      <c r="J18" s="51">
        <f t="shared" si="7"/>
        <v>1239269.7718967188</v>
      </c>
      <c r="K18" s="51">
        <f t="shared" si="7"/>
        <v>1238178.0795811433</v>
      </c>
      <c r="L18" s="51">
        <f t="shared" si="7"/>
        <v>1238178.0795811433</v>
      </c>
      <c r="M18" s="34"/>
      <c r="N18" s="51">
        <f>SUM(C18:L18)</f>
        <v>12588612.318506772</v>
      </c>
    </row>
    <row r="19" spans="1:14" x14ac:dyDescent="0.35">
      <c r="A19" s="37" t="s">
        <v>364</v>
      </c>
      <c r="B19" s="36"/>
      <c r="C19" s="40">
        <v>100323.25795170599</v>
      </c>
      <c r="D19" s="51">
        <v>4907.8613636022174</v>
      </c>
      <c r="E19" s="51">
        <v>9807.9460448972677</v>
      </c>
      <c r="F19" s="51">
        <v>9807.9460448972677</v>
      </c>
      <c r="G19" s="51">
        <v>9807.9460448972677</v>
      </c>
      <c r="H19" s="51">
        <v>9807.9460448972677</v>
      </c>
      <c r="I19" s="51">
        <v>9317.9375908493239</v>
      </c>
      <c r="J19" s="51">
        <v>8827.9291166848616</v>
      </c>
      <c r="K19" s="51">
        <v>8820.1524544942076</v>
      </c>
      <c r="L19" s="51">
        <v>8820.1524544942076</v>
      </c>
      <c r="M19" s="34"/>
      <c r="N19" s="34"/>
    </row>
    <row r="20" spans="1:14" x14ac:dyDescent="0.35">
      <c r="A20" s="3" t="s">
        <v>381</v>
      </c>
      <c r="C20" s="7">
        <f t="shared" ref="C20:L20" si="8">C15-(C16+C17+C18)</f>
        <v>4087278.8611091101</v>
      </c>
      <c r="D20" s="7">
        <f t="shared" si="8"/>
        <v>3660718.7856384325</v>
      </c>
      <c r="E20" s="7">
        <f t="shared" si="8"/>
        <v>7315637.0311020911</v>
      </c>
      <c r="F20" s="7">
        <f t="shared" si="8"/>
        <v>7315637.0311020911</v>
      </c>
      <c r="G20" s="7">
        <f t="shared" si="8"/>
        <v>7315637.0311020911</v>
      </c>
      <c r="H20" s="7">
        <f t="shared" si="8"/>
        <v>7315637.0311020911</v>
      </c>
      <c r="I20" s="7">
        <f t="shared" si="8"/>
        <v>6950145.2170590032</v>
      </c>
      <c r="J20" s="7">
        <f t="shared" si="8"/>
        <v>6584653.3880112329</v>
      </c>
      <c r="K20" s="7">
        <f t="shared" si="8"/>
        <v>6578852.8628411414</v>
      </c>
      <c r="L20" s="7">
        <f t="shared" si="8"/>
        <v>6578852.8628411414</v>
      </c>
      <c r="M20" s="39" t="s">
        <v>346</v>
      </c>
      <c r="N20" s="7">
        <f>SUM(C20:L20)</f>
        <v>63703050.10190843</v>
      </c>
    </row>
    <row r="21" spans="1:14" x14ac:dyDescent="0.35">
      <c r="A21" s="37"/>
      <c r="G21" s="7"/>
    </row>
  </sheetData>
  <sheetProtection algorithmName="SHA-512" hashValue="Ea/MSnbrxTNTzdVrbAlkSDC3sMxIFaXQsduTY3Jgfxc/L6AiXHE6eTCU1HuEqhD7UXF5PE4cjCzOu/O2AxcBjg==" saltValue="GdEBWo7vhbyI0rTic1bfpA==" spinCount="100000" sheet="1" sort="0" autoFilter="0" pivotTables="0"/>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9C1A-23A4-4D33-AC5E-3DD031AC37C5}">
  <sheetPr codeName="Sheet10"/>
  <dimension ref="A1:X24"/>
  <sheetViews>
    <sheetView zoomScaleNormal="100" workbookViewId="0">
      <selection activeCell="F15" sqref="F15"/>
    </sheetView>
  </sheetViews>
  <sheetFormatPr defaultColWidth="9.109375" defaultRowHeight="18" x14ac:dyDescent="0.35"/>
  <cols>
    <col min="1" max="1" width="76" style="3" bestFit="1" customWidth="1"/>
    <col min="2" max="2" width="18.6640625" style="3" bestFit="1" customWidth="1"/>
    <col min="3" max="5" width="19.109375" style="3" bestFit="1" customWidth="1"/>
    <col min="6" max="6" width="21.109375" style="3" bestFit="1" customWidth="1"/>
    <col min="7" max="7" width="21.109375" style="3" customWidth="1"/>
    <col min="8" max="21" width="21.109375" style="3" bestFit="1" customWidth="1"/>
    <col min="22" max="22" width="16.5546875" style="3" bestFit="1" customWidth="1"/>
    <col min="23" max="23" width="17.6640625" style="3" bestFit="1" customWidth="1"/>
    <col min="24" max="24" width="22.5546875" style="3" bestFit="1" customWidth="1"/>
    <col min="25" max="16384" width="9.109375" style="3"/>
  </cols>
  <sheetData>
    <row r="1" spans="1:24" ht="22.8" x14ac:dyDescent="0.4">
      <c r="A1" s="38" t="s">
        <v>349</v>
      </c>
    </row>
    <row r="2" spans="1:24" s="11" customFormat="1" ht="42.75" customHeight="1" x14ac:dyDescent="0.3">
      <c r="B2" s="11" t="s">
        <v>350</v>
      </c>
      <c r="C2" s="11" t="s">
        <v>311</v>
      </c>
      <c r="D2" s="11" t="s">
        <v>312</v>
      </c>
      <c r="E2" s="11" t="s">
        <v>313</v>
      </c>
      <c r="F2" s="11" t="s">
        <v>437</v>
      </c>
      <c r="G2" s="32" t="s">
        <v>440</v>
      </c>
      <c r="H2" s="11" t="s">
        <v>315</v>
      </c>
      <c r="I2" s="11" t="s">
        <v>321</v>
      </c>
      <c r="J2" s="11" t="s">
        <v>436</v>
      </c>
      <c r="K2" s="11" t="s">
        <v>323</v>
      </c>
      <c r="L2" s="11" t="s">
        <v>324</v>
      </c>
      <c r="M2" s="11" t="s">
        <v>325</v>
      </c>
      <c r="N2" s="11" t="s">
        <v>326</v>
      </c>
      <c r="O2" s="11" t="s">
        <v>327</v>
      </c>
      <c r="P2" s="11" t="s">
        <v>328</v>
      </c>
      <c r="Q2" s="11" t="s">
        <v>329</v>
      </c>
      <c r="R2" s="11" t="s">
        <v>330</v>
      </c>
      <c r="S2" s="11" t="s">
        <v>331</v>
      </c>
      <c r="T2" s="11" t="s">
        <v>332</v>
      </c>
      <c r="U2" s="11" t="s">
        <v>333</v>
      </c>
      <c r="V2" s="17" t="s">
        <v>334</v>
      </c>
      <c r="W2" s="17" t="s">
        <v>335</v>
      </c>
      <c r="X2" s="11" t="s">
        <v>13</v>
      </c>
    </row>
    <row r="3" spans="1:24" x14ac:dyDescent="0.35">
      <c r="A3" s="11" t="s">
        <v>351</v>
      </c>
      <c r="B3" s="11"/>
      <c r="C3" s="3">
        <v>2022</v>
      </c>
      <c r="D3" s="3">
        <v>2023</v>
      </c>
      <c r="E3" s="3">
        <v>2023</v>
      </c>
      <c r="F3" s="3">
        <v>2024</v>
      </c>
      <c r="G3" s="3">
        <v>2024</v>
      </c>
      <c r="H3" s="3">
        <v>2025</v>
      </c>
      <c r="I3" s="3">
        <v>2026</v>
      </c>
      <c r="J3" s="3">
        <v>2027</v>
      </c>
      <c r="K3" s="3">
        <v>2028</v>
      </c>
      <c r="L3" s="3">
        <v>2029</v>
      </c>
      <c r="M3" s="3">
        <v>2030</v>
      </c>
      <c r="N3" s="3">
        <v>2031</v>
      </c>
      <c r="O3" s="3">
        <v>2032</v>
      </c>
      <c r="P3" s="3">
        <v>2033</v>
      </c>
      <c r="Q3" s="3">
        <v>2034</v>
      </c>
      <c r="R3" s="3">
        <v>2035</v>
      </c>
      <c r="S3" s="3">
        <v>2036</v>
      </c>
      <c r="T3" s="3">
        <v>2037</v>
      </c>
      <c r="U3" s="3">
        <v>2038</v>
      </c>
    </row>
    <row r="4" spans="1:24" s="7" customFormat="1" ht="18" customHeight="1" x14ac:dyDescent="0.35">
      <c r="A4" s="7" t="s">
        <v>352</v>
      </c>
      <c r="C4" s="7">
        <v>458881128.25</v>
      </c>
      <c r="D4" s="7">
        <v>482261695.06</v>
      </c>
      <c r="E4" s="7">
        <v>482261695.06</v>
      </c>
      <c r="F4" s="7">
        <v>603618826.77999997</v>
      </c>
      <c r="H4" s="7">
        <v>603618826.76999998</v>
      </c>
      <c r="I4" s="7">
        <v>562304221.38</v>
      </c>
      <c r="K4" s="7">
        <v>668613860.14999998</v>
      </c>
      <c r="L4" s="7">
        <v>668613860.14999998</v>
      </c>
      <c r="M4" s="7">
        <v>668613860.14999998</v>
      </c>
      <c r="N4" s="7">
        <v>555451916.87</v>
      </c>
      <c r="O4" s="7">
        <v>555451916.87</v>
      </c>
      <c r="P4" s="7">
        <v>555451916.87</v>
      </c>
      <c r="Q4" s="7">
        <v>555451916.87</v>
      </c>
      <c r="R4" s="7">
        <v>555451916.87</v>
      </c>
      <c r="S4" s="7">
        <v>555451916.87</v>
      </c>
      <c r="T4" s="7">
        <v>555451916.87</v>
      </c>
      <c r="U4" s="7">
        <v>555451916.87</v>
      </c>
      <c r="X4" s="7">
        <f>SUM(C4:U4)</f>
        <v>9642403308.710001</v>
      </c>
    </row>
    <row r="5" spans="1:24" s="7" customFormat="1" ht="18" customHeight="1" x14ac:dyDescent="0.35">
      <c r="A5" s="7" t="s">
        <v>353</v>
      </c>
      <c r="C5" s="7">
        <v>333731729.63999999</v>
      </c>
      <c r="D5" s="7">
        <v>350735778.22000003</v>
      </c>
      <c r="E5" s="7">
        <v>350735778.22000003</v>
      </c>
      <c r="F5" s="7">
        <v>438995510.38</v>
      </c>
      <c r="H5" s="7">
        <v>438995510.38</v>
      </c>
      <c r="I5" s="7">
        <v>408948524.63999999</v>
      </c>
      <c r="K5" s="7">
        <v>486264625.56999999</v>
      </c>
      <c r="L5" s="7">
        <v>486264625.56999999</v>
      </c>
      <c r="M5" s="7">
        <v>486264625.56999999</v>
      </c>
      <c r="N5" s="7">
        <v>403965030.44999999</v>
      </c>
      <c r="O5" s="7">
        <v>403965030.44999999</v>
      </c>
      <c r="P5" s="7">
        <v>403965030.44999999</v>
      </c>
      <c r="Q5" s="7">
        <v>403965030.44999999</v>
      </c>
      <c r="R5" s="7">
        <v>403965030.44999999</v>
      </c>
      <c r="S5" s="7">
        <v>403965030.44999999</v>
      </c>
      <c r="T5" s="7">
        <v>403965030.44999999</v>
      </c>
      <c r="U5" s="7">
        <v>403965030.44999999</v>
      </c>
      <c r="X5" s="7">
        <f>SUM(C5:U5)</f>
        <v>7012656951.789999</v>
      </c>
    </row>
    <row r="6" spans="1:24" s="7" customFormat="1" ht="18" customHeight="1" x14ac:dyDescent="0.35">
      <c r="A6" s="7" t="s">
        <v>354</v>
      </c>
      <c r="C6" s="7">
        <v>0</v>
      </c>
      <c r="D6" s="7">
        <v>0</v>
      </c>
      <c r="E6" s="7">
        <v>0</v>
      </c>
      <c r="F6" s="7">
        <v>0</v>
      </c>
      <c r="H6" s="7">
        <v>0</v>
      </c>
      <c r="I6" s="7">
        <v>71361591.120000005</v>
      </c>
      <c r="K6" s="7">
        <v>71361591.120000005</v>
      </c>
      <c r="L6" s="7">
        <v>71361591.120000005</v>
      </c>
      <c r="M6" s="7">
        <v>71361591.120000005</v>
      </c>
      <c r="N6" s="7">
        <v>71361591.120000005</v>
      </c>
      <c r="O6" s="7">
        <v>71361591.120000005</v>
      </c>
      <c r="P6" s="7">
        <v>71361591.120000005</v>
      </c>
      <c r="Q6" s="7">
        <v>71361591.120000005</v>
      </c>
      <c r="R6" s="7">
        <v>71361591.120000005</v>
      </c>
      <c r="S6" s="7">
        <v>71361591.120000005</v>
      </c>
      <c r="T6" s="7">
        <v>71361591.120000005</v>
      </c>
      <c r="U6" s="7">
        <v>71361591.120000005</v>
      </c>
      <c r="X6" s="7">
        <f>SUM(C6:U6)</f>
        <v>856339093.44000006</v>
      </c>
    </row>
    <row r="7" spans="1:24" s="7" customFormat="1" ht="18" customHeight="1" x14ac:dyDescent="0.35">
      <c r="A7" s="7" t="s">
        <v>355</v>
      </c>
      <c r="C7" s="7">
        <f>SUM(C4:C6)</f>
        <v>792612857.88999999</v>
      </c>
      <c r="D7" s="7">
        <f t="shared" ref="D7:F7" si="0">SUM(D4:D6)</f>
        <v>832997473.27999997</v>
      </c>
      <c r="E7" s="7">
        <f t="shared" si="0"/>
        <v>832997473.27999997</v>
      </c>
      <c r="F7" s="7">
        <f t="shared" si="0"/>
        <v>1042614337.16</v>
      </c>
      <c r="H7" s="7">
        <f t="shared" ref="H7" si="1">SUM(H4:H6)</f>
        <v>1042614337.15</v>
      </c>
      <c r="I7" s="7">
        <f t="shared" ref="I7" si="2">SUM(I4:I6)</f>
        <v>1042614337.14</v>
      </c>
      <c r="K7" s="7">
        <f t="shared" ref="K7" si="3">SUM(K4:K6)</f>
        <v>1226240076.8400002</v>
      </c>
      <c r="L7" s="7">
        <f t="shared" ref="L7" si="4">SUM(L4:L6)</f>
        <v>1226240076.8400002</v>
      </c>
      <c r="M7" s="7">
        <f t="shared" ref="M7" si="5">SUM(M4:M6)</f>
        <v>1226240076.8400002</v>
      </c>
      <c r="N7" s="7">
        <f t="shared" ref="N7" si="6">SUM(N4:N6)</f>
        <v>1030778538.4399999</v>
      </c>
      <c r="O7" s="7">
        <f t="shared" ref="O7" si="7">SUM(O4:O6)</f>
        <v>1030778538.4399999</v>
      </c>
      <c r="P7" s="7">
        <f t="shared" ref="P7" si="8">SUM(P4:P6)</f>
        <v>1030778538.4399999</v>
      </c>
      <c r="Q7" s="7">
        <f t="shared" ref="Q7" si="9">SUM(Q4:Q6)</f>
        <v>1030778538.4399999</v>
      </c>
      <c r="R7" s="7">
        <f t="shared" ref="R7" si="10">SUM(R4:R6)</f>
        <v>1030778538.4399999</v>
      </c>
      <c r="S7" s="7">
        <f t="shared" ref="S7" si="11">SUM(S4:S6)</f>
        <v>1030778538.4399999</v>
      </c>
      <c r="T7" s="7">
        <f t="shared" ref="T7" si="12">SUM(T4:T6)</f>
        <v>1030778538.4399999</v>
      </c>
      <c r="U7" s="7">
        <f t="shared" ref="U7" si="13">SUM(U4:U6)</f>
        <v>1030778538.4399999</v>
      </c>
      <c r="X7" s="7">
        <f>SUM(X4:X6)</f>
        <v>17511399353.939999</v>
      </c>
    </row>
    <row r="8" spans="1:24" ht="18" customHeight="1" x14ac:dyDescent="0.35"/>
    <row r="9" spans="1:24" ht="18" customHeight="1" x14ac:dyDescent="0.35"/>
    <row r="10" spans="1:24" x14ac:dyDescent="0.35">
      <c r="A10" s="11" t="s">
        <v>356</v>
      </c>
      <c r="B10" s="35">
        <v>3.4020234989000003E-2</v>
      </c>
      <c r="C10" s="7">
        <f t="shared" ref="C10:U10" si="14">$B$10*C7</f>
        <v>26964875.680720665</v>
      </c>
      <c r="D10" s="7">
        <f t="shared" si="14"/>
        <v>28338769.78622885</v>
      </c>
      <c r="E10" s="7">
        <f t="shared" si="14"/>
        <v>28338769.78622885</v>
      </c>
      <c r="F10" s="7">
        <f t="shared" si="14"/>
        <v>35469984.753083676</v>
      </c>
      <c r="G10" s="7">
        <v>15612027.66</v>
      </c>
      <c r="H10" s="7">
        <f t="shared" si="14"/>
        <v>35469984.752743475</v>
      </c>
      <c r="I10" s="7">
        <f t="shared" si="14"/>
        <v>35469984.752403274</v>
      </c>
      <c r="J10" s="7">
        <v>13514064.189999999</v>
      </c>
      <c r="K10" s="7">
        <f t="shared" si="14"/>
        <v>41716975.567026228</v>
      </c>
      <c r="L10" s="7">
        <f t="shared" si="14"/>
        <v>41716975.567026228</v>
      </c>
      <c r="M10" s="7">
        <f t="shared" si="14"/>
        <v>41716975.567026228</v>
      </c>
      <c r="N10" s="7">
        <f t="shared" si="14"/>
        <v>35067328.099346772</v>
      </c>
      <c r="O10" s="7">
        <f t="shared" si="14"/>
        <v>35067328.099346772</v>
      </c>
      <c r="P10" s="7">
        <f t="shared" si="14"/>
        <v>35067328.099346772</v>
      </c>
      <c r="Q10" s="7">
        <f t="shared" si="14"/>
        <v>35067328.099346772</v>
      </c>
      <c r="R10" s="7">
        <f t="shared" si="14"/>
        <v>35067328.099346772</v>
      </c>
      <c r="S10" s="7">
        <f t="shared" si="14"/>
        <v>35067328.099346772</v>
      </c>
      <c r="T10" s="7">
        <f t="shared" si="14"/>
        <v>35067328.099346772</v>
      </c>
      <c r="U10" s="7">
        <f t="shared" si="14"/>
        <v>35067328.099346772</v>
      </c>
      <c r="V10" s="7"/>
      <c r="W10" s="7"/>
      <c r="X10" s="7">
        <f>SUM(B10:U10)</f>
        <v>624868012.89128172</v>
      </c>
    </row>
    <row r="12" spans="1:24" x14ac:dyDescent="0.35">
      <c r="A12" s="3" t="s">
        <v>357</v>
      </c>
      <c r="B12" s="36">
        <v>0.5</v>
      </c>
      <c r="C12" s="7">
        <v>13482437.82</v>
      </c>
      <c r="D12" s="7">
        <f>$B$12*D10</f>
        <v>14169384.893114425</v>
      </c>
      <c r="E12" s="7">
        <f>$B$12*E10</f>
        <v>14169384.893114425</v>
      </c>
      <c r="F12" s="7">
        <f>$B$12*F10</f>
        <v>17734992.376541838</v>
      </c>
      <c r="G12" s="7">
        <v>7806013.7999999998</v>
      </c>
      <c r="H12" s="7">
        <f t="shared" ref="H12:U12" si="15">$B$12*H10</f>
        <v>17734992.376371738</v>
      </c>
      <c r="I12" s="7">
        <f t="shared" si="15"/>
        <v>17734992.376201637</v>
      </c>
      <c r="J12" s="7">
        <f t="shared" si="15"/>
        <v>6757032.0949999997</v>
      </c>
      <c r="K12" s="7">
        <f t="shared" si="15"/>
        <v>20858487.783513114</v>
      </c>
      <c r="L12" s="7">
        <f t="shared" si="15"/>
        <v>20858487.783513114</v>
      </c>
      <c r="M12" s="7">
        <f t="shared" si="15"/>
        <v>20858487.783513114</v>
      </c>
      <c r="N12" s="7">
        <f t="shared" si="15"/>
        <v>17533664.049673386</v>
      </c>
      <c r="O12" s="7">
        <f t="shared" si="15"/>
        <v>17533664.049673386</v>
      </c>
      <c r="P12" s="7">
        <f t="shared" si="15"/>
        <v>17533664.049673386</v>
      </c>
      <c r="Q12" s="7">
        <f t="shared" si="15"/>
        <v>17533664.049673386</v>
      </c>
      <c r="R12" s="7">
        <f t="shared" si="15"/>
        <v>17533664.049673386</v>
      </c>
      <c r="S12" s="7">
        <f t="shared" si="15"/>
        <v>17533664.049673386</v>
      </c>
      <c r="T12" s="7">
        <f t="shared" si="15"/>
        <v>17533664.049673386</v>
      </c>
      <c r="U12" s="7">
        <f t="shared" si="15"/>
        <v>17533664.049673386</v>
      </c>
      <c r="V12" s="7"/>
      <c r="W12" s="7"/>
      <c r="X12" s="7">
        <f>SUM(B12:U12)</f>
        <v>312434006.87827045</v>
      </c>
    </row>
    <row r="13" spans="1:24" x14ac:dyDescent="0.35">
      <c r="A13" s="3" t="s">
        <v>358</v>
      </c>
      <c r="B13" s="36"/>
      <c r="C13" s="51">
        <f>C20-359.96</f>
        <v>24416.100000000002</v>
      </c>
      <c r="D13" s="7">
        <v>1163.1400000000001</v>
      </c>
      <c r="E13" s="7">
        <v>1746.44</v>
      </c>
      <c r="F13" s="7">
        <f t="shared" ref="F13:U13" si="16">F20</f>
        <v>1197.46</v>
      </c>
      <c r="G13" s="7">
        <v>1230.5900000000001</v>
      </c>
      <c r="H13" s="7">
        <f t="shared" si="16"/>
        <v>1197.4575278058044</v>
      </c>
      <c r="I13" s="7">
        <f t="shared" si="16"/>
        <v>1197.457527794319</v>
      </c>
      <c r="J13" s="7">
        <f t="shared" si="16"/>
        <v>456.23131806716344</v>
      </c>
      <c r="K13" s="7">
        <f t="shared" si="16"/>
        <v>1408.3543248820424</v>
      </c>
      <c r="L13" s="7">
        <f t="shared" si="16"/>
        <v>1408.3543248820424</v>
      </c>
      <c r="M13" s="7">
        <f t="shared" si="16"/>
        <v>1408.3543248820424</v>
      </c>
      <c r="N13" s="7">
        <f t="shared" si="16"/>
        <v>1183.8639431428257</v>
      </c>
      <c r="O13" s="7">
        <f t="shared" si="16"/>
        <v>1183.8639431428257</v>
      </c>
      <c r="P13" s="7">
        <f t="shared" si="16"/>
        <v>1183.8639431428257</v>
      </c>
      <c r="Q13" s="7">
        <f t="shared" si="16"/>
        <v>1183.8639431428257</v>
      </c>
      <c r="R13" s="7">
        <f t="shared" si="16"/>
        <v>1183.8639431428257</v>
      </c>
      <c r="S13" s="7">
        <f t="shared" si="16"/>
        <v>1183.8639431428257</v>
      </c>
      <c r="T13" s="7">
        <f t="shared" si="16"/>
        <v>1183.8639431428257</v>
      </c>
      <c r="U13" s="7">
        <f t="shared" si="16"/>
        <v>1183.8639431428257</v>
      </c>
      <c r="V13" s="7"/>
      <c r="W13" s="7"/>
      <c r="X13" s="7"/>
    </row>
    <row r="14" spans="1:24" x14ac:dyDescent="0.35">
      <c r="A14" s="3" t="s">
        <v>359</v>
      </c>
      <c r="B14" s="36"/>
      <c r="C14" s="7">
        <f>C12-C13</f>
        <v>13458021.720000001</v>
      </c>
      <c r="D14" s="7">
        <f t="shared" ref="D14:U14" si="17">D12+D13</f>
        <v>14170548.033114426</v>
      </c>
      <c r="E14" s="7">
        <f t="shared" si="17"/>
        <v>14171131.333114425</v>
      </c>
      <c r="F14" s="7">
        <f t="shared" si="17"/>
        <v>17736189.836541839</v>
      </c>
      <c r="G14" s="7">
        <f t="shared" si="17"/>
        <v>7807244.3899999997</v>
      </c>
      <c r="H14" s="7">
        <f t="shared" si="17"/>
        <v>17736189.833899543</v>
      </c>
      <c r="I14" s="7">
        <f t="shared" si="17"/>
        <v>17736189.833729431</v>
      </c>
      <c r="J14" s="7">
        <f t="shared" si="17"/>
        <v>6757488.3263180666</v>
      </c>
      <c r="K14" s="7">
        <f t="shared" si="17"/>
        <v>20859896.137837995</v>
      </c>
      <c r="L14" s="7">
        <f t="shared" si="17"/>
        <v>20859896.137837995</v>
      </c>
      <c r="M14" s="7">
        <f t="shared" si="17"/>
        <v>20859896.137837995</v>
      </c>
      <c r="N14" s="7">
        <f t="shared" si="17"/>
        <v>17534847.913616531</v>
      </c>
      <c r="O14" s="7">
        <f t="shared" si="17"/>
        <v>17534847.913616531</v>
      </c>
      <c r="P14" s="7">
        <f t="shared" si="17"/>
        <v>17534847.913616531</v>
      </c>
      <c r="Q14" s="7">
        <f t="shared" si="17"/>
        <v>17534847.913616531</v>
      </c>
      <c r="R14" s="7">
        <f t="shared" si="17"/>
        <v>17534847.913616531</v>
      </c>
      <c r="S14" s="7">
        <f t="shared" si="17"/>
        <v>17534847.913616531</v>
      </c>
      <c r="T14" s="7">
        <f t="shared" si="17"/>
        <v>17534847.913616531</v>
      </c>
      <c r="U14" s="7">
        <f t="shared" si="17"/>
        <v>17534847.913616531</v>
      </c>
      <c r="V14" s="7"/>
      <c r="W14" s="7"/>
      <c r="X14" s="7">
        <f>SUM(C14:U14)</f>
        <v>312431475.02916402</v>
      </c>
    </row>
    <row r="15" spans="1:24" x14ac:dyDescent="0.35">
      <c r="B15" s="36"/>
      <c r="C15" s="7"/>
      <c r="D15" s="7"/>
      <c r="E15" s="7"/>
      <c r="F15" s="7" t="s">
        <v>479</v>
      </c>
      <c r="G15" s="7"/>
      <c r="H15" s="7"/>
      <c r="I15" s="7"/>
      <c r="J15" s="7"/>
      <c r="K15" s="7"/>
      <c r="L15" s="7"/>
      <c r="M15" s="7"/>
      <c r="N15" s="7"/>
      <c r="O15" s="7"/>
      <c r="P15" s="7"/>
      <c r="Q15" s="7"/>
      <c r="R15" s="7"/>
      <c r="S15" s="7"/>
      <c r="T15" s="7"/>
      <c r="U15" s="7"/>
      <c r="V15" s="7"/>
      <c r="W15" s="7"/>
      <c r="X15" s="7"/>
    </row>
    <row r="16" spans="1:24" x14ac:dyDescent="0.35">
      <c r="A16" s="3" t="s">
        <v>360</v>
      </c>
      <c r="B16" s="36">
        <v>0.5</v>
      </c>
      <c r="C16" s="7">
        <f>$B$16*C10</f>
        <v>13482437.840360332</v>
      </c>
      <c r="D16" s="7">
        <f>D10*0.5</f>
        <v>14169384.893114425</v>
      </c>
      <c r="E16" s="7">
        <f>E10*0.5</f>
        <v>14169384.893114425</v>
      </c>
      <c r="F16" s="7">
        <f>F10*0.5</f>
        <v>17734992.376541838</v>
      </c>
      <c r="G16" s="7">
        <v>7806013.8600000003</v>
      </c>
      <c r="H16" s="7">
        <f t="shared" ref="H16:U16" si="18">H10*0.5</f>
        <v>17734992.376371738</v>
      </c>
      <c r="I16" s="7">
        <f t="shared" si="18"/>
        <v>17734992.376201637</v>
      </c>
      <c r="J16" s="7">
        <f t="shared" si="18"/>
        <v>6757032.0949999997</v>
      </c>
      <c r="K16" s="7">
        <f t="shared" si="18"/>
        <v>20858487.783513114</v>
      </c>
      <c r="L16" s="7">
        <f t="shared" si="18"/>
        <v>20858487.783513114</v>
      </c>
      <c r="M16" s="7">
        <f t="shared" si="18"/>
        <v>20858487.783513114</v>
      </c>
      <c r="N16" s="7">
        <f t="shared" si="18"/>
        <v>17533664.049673386</v>
      </c>
      <c r="O16" s="7">
        <f t="shared" si="18"/>
        <v>17533664.049673386</v>
      </c>
      <c r="P16" s="7">
        <f t="shared" si="18"/>
        <v>17533664.049673386</v>
      </c>
      <c r="Q16" s="7">
        <f t="shared" si="18"/>
        <v>17533664.049673386</v>
      </c>
      <c r="R16" s="7">
        <f t="shared" si="18"/>
        <v>17533664.049673386</v>
      </c>
      <c r="S16" s="7">
        <f t="shared" si="18"/>
        <v>17533664.049673386</v>
      </c>
      <c r="T16" s="7">
        <f t="shared" si="18"/>
        <v>17533664.049673386</v>
      </c>
      <c r="U16" s="7">
        <f t="shared" si="18"/>
        <v>17533664.049673386</v>
      </c>
      <c r="V16" s="7"/>
      <c r="W16" s="7"/>
      <c r="X16" s="7">
        <f>SUM(B16:U16)</f>
        <v>312434006.95863074</v>
      </c>
    </row>
    <row r="17" spans="1:24" x14ac:dyDescent="0.35">
      <c r="A17" s="37" t="s">
        <v>361</v>
      </c>
      <c r="B17" s="36">
        <v>3.0000000000000001E-3</v>
      </c>
      <c r="C17" s="53">
        <f>B17*C16</f>
        <v>40447.313521081</v>
      </c>
      <c r="D17" s="51">
        <f t="shared" ref="D17:U17" si="19">D16*0.003</f>
        <v>42508.154679343279</v>
      </c>
      <c r="E17" s="51">
        <f t="shared" si="19"/>
        <v>42508.154679343279</v>
      </c>
      <c r="F17" s="51">
        <f t="shared" si="19"/>
        <v>53204.977129625513</v>
      </c>
      <c r="G17" s="51">
        <v>23418.04</v>
      </c>
      <c r="H17" s="51">
        <f t="shared" si="19"/>
        <v>53204.977129115214</v>
      </c>
      <c r="I17" s="51">
        <f t="shared" si="19"/>
        <v>53204.977128604914</v>
      </c>
      <c r="J17" s="51">
        <f t="shared" si="19"/>
        <v>20271.096285</v>
      </c>
      <c r="K17" s="51">
        <f t="shared" si="19"/>
        <v>62575.463350539343</v>
      </c>
      <c r="L17" s="51">
        <f t="shared" si="19"/>
        <v>62575.463350539343</v>
      </c>
      <c r="M17" s="51">
        <f t="shared" si="19"/>
        <v>62575.463350539343</v>
      </c>
      <c r="N17" s="51">
        <f t="shared" si="19"/>
        <v>52600.99214902016</v>
      </c>
      <c r="O17" s="51">
        <f t="shared" si="19"/>
        <v>52600.99214902016</v>
      </c>
      <c r="P17" s="51">
        <f t="shared" si="19"/>
        <v>52600.99214902016</v>
      </c>
      <c r="Q17" s="51">
        <f t="shared" si="19"/>
        <v>52600.99214902016</v>
      </c>
      <c r="R17" s="51">
        <f t="shared" si="19"/>
        <v>52600.99214902016</v>
      </c>
      <c r="S17" s="51">
        <f t="shared" si="19"/>
        <v>52600.99214902016</v>
      </c>
      <c r="T17" s="51">
        <f t="shared" si="19"/>
        <v>52600.99214902016</v>
      </c>
      <c r="U17" s="51">
        <f t="shared" si="19"/>
        <v>52600.99214902016</v>
      </c>
      <c r="V17" s="34"/>
      <c r="W17" s="34"/>
      <c r="X17" s="51">
        <f>X16*0.003</f>
        <v>937302.02087589225</v>
      </c>
    </row>
    <row r="18" spans="1:24" x14ac:dyDescent="0.35">
      <c r="A18" s="37" t="s">
        <v>362</v>
      </c>
      <c r="B18" s="36">
        <v>0.05</v>
      </c>
      <c r="C18" s="53">
        <f t="shared" ref="C18:U18" si="20">$B$18*C16</f>
        <v>674121.89201801666</v>
      </c>
      <c r="D18" s="51">
        <f t="shared" si="20"/>
        <v>708469.24465572136</v>
      </c>
      <c r="E18" s="51">
        <f t="shared" si="20"/>
        <v>708469.24465572136</v>
      </c>
      <c r="F18" s="51">
        <f t="shared" si="20"/>
        <v>886749.618827092</v>
      </c>
      <c r="G18" s="51">
        <f>352064.88+38235.81</f>
        <v>390300.69</v>
      </c>
      <c r="H18" s="51">
        <f t="shared" si="20"/>
        <v>886749.61881858693</v>
      </c>
      <c r="I18" s="51">
        <f t="shared" si="20"/>
        <v>886749.61881008185</v>
      </c>
      <c r="J18" s="51">
        <f t="shared" si="20"/>
        <v>337851.60475</v>
      </c>
      <c r="K18" s="51">
        <f t="shared" si="20"/>
        <v>1042924.3891756558</v>
      </c>
      <c r="L18" s="51">
        <f t="shared" si="20"/>
        <v>1042924.3891756558</v>
      </c>
      <c r="M18" s="51">
        <f t="shared" si="20"/>
        <v>1042924.3891756558</v>
      </c>
      <c r="N18" s="51">
        <f t="shared" si="20"/>
        <v>876683.20248366939</v>
      </c>
      <c r="O18" s="51">
        <f t="shared" si="20"/>
        <v>876683.20248366939</v>
      </c>
      <c r="P18" s="51">
        <f t="shared" si="20"/>
        <v>876683.20248366939</v>
      </c>
      <c r="Q18" s="51">
        <f t="shared" si="20"/>
        <v>876683.20248366939</v>
      </c>
      <c r="R18" s="51">
        <f t="shared" si="20"/>
        <v>876683.20248366939</v>
      </c>
      <c r="S18" s="51">
        <f t="shared" si="20"/>
        <v>876683.20248366939</v>
      </c>
      <c r="T18" s="51">
        <f t="shared" si="20"/>
        <v>876683.20248366939</v>
      </c>
      <c r="U18" s="51">
        <f t="shared" si="20"/>
        <v>876683.20248366939</v>
      </c>
      <c r="V18" s="34"/>
      <c r="W18" s="34"/>
      <c r="X18" s="51">
        <f>$B$18*X16</f>
        <v>15621700.347931538</v>
      </c>
    </row>
    <row r="19" spans="1:24" x14ac:dyDescent="0.35">
      <c r="A19" s="37" t="s">
        <v>363</v>
      </c>
      <c r="B19" s="36"/>
      <c r="C19" s="53">
        <v>5555305.2599999998</v>
      </c>
      <c r="D19" s="51">
        <v>5555305.2599999998</v>
      </c>
      <c r="E19" s="51">
        <v>5555305.2599999998</v>
      </c>
      <c r="F19" s="41"/>
      <c r="G19" s="41"/>
      <c r="H19" s="41"/>
      <c r="I19" s="41"/>
      <c r="J19" s="41"/>
      <c r="K19" s="41"/>
      <c r="L19" s="41"/>
      <c r="M19" s="41"/>
      <c r="N19" s="41"/>
      <c r="O19" s="41"/>
      <c r="P19" s="41"/>
      <c r="Q19" s="41"/>
      <c r="R19" s="41"/>
      <c r="S19" s="41"/>
      <c r="T19" s="41"/>
      <c r="U19" s="41"/>
      <c r="V19" s="41"/>
      <c r="W19" s="41"/>
      <c r="X19" s="51">
        <f>(C19+D19+E19)-(V21+W21)</f>
        <v>12508111.609999999</v>
      </c>
    </row>
    <row r="20" spans="1:24" x14ac:dyDescent="0.35">
      <c r="A20" s="37" t="s">
        <v>364</v>
      </c>
      <c r="B20" s="36"/>
      <c r="C20" s="42">
        <v>24776.06</v>
      </c>
      <c r="D20" s="51">
        <v>1163.1400000000001</v>
      </c>
      <c r="E20" s="51">
        <v>1746.44</v>
      </c>
      <c r="F20" s="53">
        <v>1197.46</v>
      </c>
      <c r="G20" s="53">
        <v>1230.5900000000001</v>
      </c>
      <c r="H20" s="51">
        <f>Distributors!J13+Distributors!J38+Distributors!J60+Distributors!J72+Distributors!J83+Distributors!J96+Distributors!J99+Distributors!J119+Distributors!J166+Distributors!J203+Distributors!J242+Distributors!J261</f>
        <v>1197.4575278058044</v>
      </c>
      <c r="I20" s="51">
        <f>Distributors!K13+Distributors!K38+Distributors!K60+Distributors!K72+Distributors!K83+Distributors!K96+Distributors!K99+Distributors!K119+Distributors!K166+Distributors!K203+Distributors!K242+Distributors!K261</f>
        <v>1197.457527794319</v>
      </c>
      <c r="J20" s="51">
        <f>Distributors!L13+Distributors!L38+Distributors!L60+Distributors!L72+Distributors!L83+Distributors!L96+Distributors!L99+Distributors!L119+Distributors!L166+Distributors!L203+Distributors!L242+Distributors!L261</f>
        <v>456.23131806716344</v>
      </c>
      <c r="K20" s="51">
        <f>Distributors!M13+Distributors!M38+Distributors!M60+Distributors!M72+Distributors!M83+Distributors!M96+Distributors!M99+Distributors!M119+Distributors!M166+Distributors!M203+Distributors!M242+Distributors!M261</f>
        <v>1408.3543248820424</v>
      </c>
      <c r="L20" s="51">
        <f>Distributors!N13+Distributors!N38+Distributors!N60+Distributors!N72+Distributors!N83+Distributors!N96+Distributors!N99+Distributors!N119+Distributors!N166+Distributors!N203+Distributors!N242+Distributors!N261</f>
        <v>1408.3543248820424</v>
      </c>
      <c r="M20" s="51">
        <f>Distributors!O13+Distributors!O38+Distributors!O60+Distributors!O72+Distributors!O83+Distributors!O96+Distributors!O99+Distributors!O119+Distributors!O166+Distributors!O203+Distributors!O242+Distributors!O261</f>
        <v>1408.3543248820424</v>
      </c>
      <c r="N20" s="51">
        <f>Distributors!P13+Distributors!P38+Distributors!P60+Distributors!P72+Distributors!P83+Distributors!P96+Distributors!P99+Distributors!P119+Distributors!P166+Distributors!P203+Distributors!P242+Distributors!P261</f>
        <v>1183.8639431428257</v>
      </c>
      <c r="O20" s="51">
        <f>Distributors!Q13+Distributors!Q38+Distributors!Q60+Distributors!Q72+Distributors!Q83+Distributors!Q96+Distributors!Q99+Distributors!Q119+Distributors!Q166+Distributors!Q203+Distributors!Q242+Distributors!Q261</f>
        <v>1183.8639431428257</v>
      </c>
      <c r="P20" s="51">
        <f>Distributors!R13+Distributors!R38+Distributors!R60+Distributors!R72+Distributors!R83+Distributors!R96+Distributors!R99+Distributors!R119+Distributors!R166+Distributors!R203+Distributors!R242+Distributors!R261</f>
        <v>1183.8639431428257</v>
      </c>
      <c r="Q20" s="51">
        <f>Distributors!S13+Distributors!S38+Distributors!S60+Distributors!S72+Distributors!S83+Distributors!S96+Distributors!S99+Distributors!S119+Distributors!S166+Distributors!S203+Distributors!S242+Distributors!S261</f>
        <v>1183.8639431428257</v>
      </c>
      <c r="R20" s="51">
        <f>Distributors!T13+Distributors!T38+Distributors!T60+Distributors!T72+Distributors!T83+Distributors!T96+Distributors!T99+Distributors!T119+Distributors!T166+Distributors!T203+Distributors!T242+Distributors!T261</f>
        <v>1183.8639431428257</v>
      </c>
      <c r="S20" s="51">
        <f>Distributors!U13+Distributors!U38+Distributors!U60+Distributors!U72+Distributors!U83+Distributors!U96+Distributors!U99+Distributors!U119+Distributors!U166+Distributors!U203+Distributors!U242+Distributors!U261</f>
        <v>1183.8639431428257</v>
      </c>
      <c r="T20" s="51">
        <f>Distributors!V13+Distributors!V38+Distributors!V60+Distributors!V72+Distributors!V83+Distributors!V96+Distributors!V99+Distributors!V119+Distributors!V166+Distributors!V203+Distributors!V242+Distributors!V261</f>
        <v>1183.8639431428257</v>
      </c>
      <c r="U20" s="51">
        <f>Distributors!W13+Distributors!W38+Distributors!W60+Distributors!W72+Distributors!W83+Distributors!W96+Distributors!W99+Distributors!W119+Distributors!W166+Distributors!W203+Distributors!W242+Distributors!W261</f>
        <v>1183.8639431428257</v>
      </c>
      <c r="V20" s="41"/>
      <c r="W20" s="41"/>
      <c r="X20" s="34"/>
    </row>
    <row r="21" spans="1:24" x14ac:dyDescent="0.35">
      <c r="A21" s="3" t="s">
        <v>365</v>
      </c>
      <c r="C21" s="7">
        <f>(C16+C20)-(C17+C18+C19)</f>
        <v>7237339.434821235</v>
      </c>
      <c r="D21" s="7">
        <f>D16-(D17+D18+D19+D20)</f>
        <v>7861939.0937793609</v>
      </c>
      <c r="E21" s="7">
        <f>E16-(E17+E18+E19+E20)</f>
        <v>7861355.7937793601</v>
      </c>
      <c r="F21" s="7">
        <f t="shared" ref="F21:U21" si="21">F16-(F17+F18+F19)</f>
        <v>16795037.780585121</v>
      </c>
      <c r="G21" s="7">
        <f>G16-(G17+G18+G20)</f>
        <v>7391064.54</v>
      </c>
      <c r="H21" s="7">
        <f t="shared" si="21"/>
        <v>16795037.780424036</v>
      </c>
      <c r="I21" s="7">
        <f t="shared" si="21"/>
        <v>16795037.780262951</v>
      </c>
      <c r="J21" s="7">
        <f t="shared" si="21"/>
        <v>6398909.3939649994</v>
      </c>
      <c r="K21" s="7">
        <f t="shared" si="21"/>
        <v>19752987.930986919</v>
      </c>
      <c r="L21" s="7">
        <f t="shared" si="21"/>
        <v>19752987.930986919</v>
      </c>
      <c r="M21" s="7">
        <f t="shared" si="21"/>
        <v>19752987.930986919</v>
      </c>
      <c r="N21" s="7">
        <f t="shared" si="21"/>
        <v>16604379.855040696</v>
      </c>
      <c r="O21" s="7">
        <f t="shared" si="21"/>
        <v>16604379.855040696</v>
      </c>
      <c r="P21" s="7">
        <f t="shared" si="21"/>
        <v>16604379.855040696</v>
      </c>
      <c r="Q21" s="7">
        <f t="shared" si="21"/>
        <v>16604379.855040696</v>
      </c>
      <c r="R21" s="7">
        <f t="shared" si="21"/>
        <v>16604379.855040696</v>
      </c>
      <c r="S21" s="7">
        <f t="shared" si="21"/>
        <v>16604379.855040696</v>
      </c>
      <c r="T21" s="7">
        <f t="shared" si="21"/>
        <v>16604379.855040696</v>
      </c>
      <c r="U21" s="7">
        <f t="shared" si="21"/>
        <v>16604379.855040696</v>
      </c>
      <c r="V21" s="7">
        <v>4064338.06</v>
      </c>
      <c r="W21" s="7">
        <v>93466.11</v>
      </c>
      <c r="X21" s="7">
        <f>SUM(C21:W21)</f>
        <v>283387528.4009034</v>
      </c>
    </row>
    <row r="24" spans="1:24" ht="95.25" customHeight="1" x14ac:dyDescent="0.35">
      <c r="A24" s="55" t="s">
        <v>439</v>
      </c>
    </row>
  </sheetData>
  <sheetProtection algorithmName="SHA-512" hashValue="I6JSE/sIr+mx1WJN/6GgmQJy+5oCRVVZSrzmVE5d032TPVaFm3yYgNX45Ughh2WfZnFuVqA4yZo6ZVdXwaXsNw==" saltValue="Lf3HVAYPGlCvvI/ib1S+pg==" spinCount="100000" sheet="1" sort="0" autoFilter="0" pivotTables="0"/>
  <phoneticPr fontId="1" type="noConversion"/>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92C45-3C91-4D2E-A404-9A5C368EF3B5}">
  <sheetPr codeName="Sheet11"/>
  <dimension ref="A1:Q26"/>
  <sheetViews>
    <sheetView workbookViewId="0">
      <selection activeCell="A2" sqref="A2"/>
    </sheetView>
  </sheetViews>
  <sheetFormatPr defaultColWidth="9.109375" defaultRowHeight="18" x14ac:dyDescent="0.35"/>
  <cols>
    <col min="1" max="1" width="76" style="3" bestFit="1" customWidth="1"/>
    <col min="2" max="2" width="18.6640625" style="3" bestFit="1" customWidth="1"/>
    <col min="3" max="7" width="19.109375" style="3" bestFit="1" customWidth="1"/>
    <col min="8" max="8" width="19.109375" style="3" customWidth="1"/>
    <col min="9" max="14" width="19.109375" style="3" bestFit="1" customWidth="1"/>
    <col min="15" max="15" width="16.5546875" style="3" bestFit="1" customWidth="1"/>
    <col min="16" max="16" width="16.88671875" style="3" customWidth="1"/>
    <col min="17" max="17" width="21.109375" style="3" bestFit="1" customWidth="1"/>
    <col min="18" max="16384" width="9.109375" style="3"/>
  </cols>
  <sheetData>
    <row r="1" spans="1:17" ht="22.8" x14ac:dyDescent="0.4">
      <c r="A1" s="38" t="s">
        <v>366</v>
      </c>
    </row>
    <row r="2" spans="1:17" s="11" customFormat="1" ht="45" customHeight="1" x14ac:dyDescent="0.3">
      <c r="B2" s="11" t="s">
        <v>350</v>
      </c>
      <c r="C2" s="11" t="s">
        <v>311</v>
      </c>
      <c r="D2" s="11" t="s">
        <v>312</v>
      </c>
      <c r="E2" s="11" t="s">
        <v>313</v>
      </c>
      <c r="F2" s="11" t="s">
        <v>314</v>
      </c>
      <c r="G2" s="11" t="s">
        <v>315</v>
      </c>
      <c r="H2" s="11" t="s">
        <v>408</v>
      </c>
      <c r="I2" s="11" t="s">
        <v>321</v>
      </c>
      <c r="J2" s="11" t="s">
        <v>322</v>
      </c>
      <c r="K2" s="11" t="s">
        <v>323</v>
      </c>
      <c r="L2" s="11" t="s">
        <v>324</v>
      </c>
      <c r="M2" s="11" t="s">
        <v>325</v>
      </c>
      <c r="N2" s="11" t="s">
        <v>326</v>
      </c>
      <c r="O2" s="17" t="s">
        <v>334</v>
      </c>
      <c r="P2" s="17" t="s">
        <v>335</v>
      </c>
      <c r="Q2" s="11" t="s">
        <v>13</v>
      </c>
    </row>
    <row r="3" spans="1:17" x14ac:dyDescent="0.35">
      <c r="A3" s="11" t="s">
        <v>351</v>
      </c>
      <c r="B3" s="11"/>
      <c r="C3" s="3">
        <v>2022</v>
      </c>
      <c r="D3" s="3">
        <v>2023</v>
      </c>
      <c r="E3" s="3">
        <v>2023</v>
      </c>
      <c r="F3" s="3">
        <v>2023</v>
      </c>
      <c r="G3" s="3">
        <v>2023</v>
      </c>
      <c r="H3" s="3">
        <v>2024</v>
      </c>
      <c r="I3" s="3">
        <v>2026</v>
      </c>
      <c r="J3" s="3">
        <v>2027</v>
      </c>
      <c r="K3" s="3">
        <v>2028</v>
      </c>
      <c r="L3" s="3">
        <v>2029</v>
      </c>
      <c r="M3" s="3">
        <v>2030</v>
      </c>
      <c r="N3" s="3">
        <v>2031</v>
      </c>
      <c r="O3" s="3">
        <v>2023</v>
      </c>
      <c r="P3" s="3">
        <v>2023</v>
      </c>
    </row>
    <row r="4" spans="1:17" s="7" customFormat="1" ht="18" customHeight="1" x14ac:dyDescent="0.35">
      <c r="A4" s="7" t="s">
        <v>367</v>
      </c>
      <c r="C4" s="7">
        <v>282175271</v>
      </c>
      <c r="D4" s="7">
        <v>658320615</v>
      </c>
      <c r="E4" s="7">
        <v>0</v>
      </c>
      <c r="F4" s="7">
        <v>259273971</v>
      </c>
      <c r="G4" s="7">
        <v>262463219</v>
      </c>
      <c r="H4" s="7">
        <v>0</v>
      </c>
      <c r="I4" s="7">
        <v>105720216</v>
      </c>
      <c r="J4" s="7">
        <v>63074061</v>
      </c>
      <c r="K4" s="7">
        <v>63074060</v>
      </c>
      <c r="L4" s="7">
        <v>82748246</v>
      </c>
      <c r="M4" s="7">
        <v>82748248</v>
      </c>
      <c r="N4" s="7">
        <v>82748248</v>
      </c>
      <c r="Q4" s="7">
        <f>SUM(C4:N4)</f>
        <v>1942346155</v>
      </c>
    </row>
    <row r="5" spans="1:17" s="7" customFormat="1" ht="18" customHeight="1" x14ac:dyDescent="0.35">
      <c r="A5" s="7" t="s">
        <v>368</v>
      </c>
      <c r="C5" s="7">
        <v>0</v>
      </c>
      <c r="D5" s="7">
        <v>0</v>
      </c>
      <c r="E5" s="7">
        <v>526905161</v>
      </c>
      <c r="F5" s="7">
        <v>549768597</v>
      </c>
      <c r="G5" s="7">
        <v>634274384</v>
      </c>
      <c r="H5" s="7">
        <v>0</v>
      </c>
      <c r="I5" s="7">
        <v>54325273</v>
      </c>
      <c r="J5" s="7">
        <v>54325273</v>
      </c>
      <c r="K5" s="7">
        <v>54325272</v>
      </c>
      <c r="L5" s="7">
        <v>78371501</v>
      </c>
      <c r="M5" s="7">
        <v>78371500</v>
      </c>
      <c r="N5" s="7">
        <v>78371500</v>
      </c>
      <c r="Q5" s="7">
        <f>SUM(C5:N5)</f>
        <v>2109038461</v>
      </c>
    </row>
    <row r="6" spans="1:17" s="7" customFormat="1" ht="18" customHeight="1" x14ac:dyDescent="0.35">
      <c r="A6" s="7" t="s">
        <v>369</v>
      </c>
      <c r="C6" s="7">
        <v>0</v>
      </c>
      <c r="D6" s="7">
        <v>0</v>
      </c>
      <c r="E6" s="7">
        <v>0</v>
      </c>
      <c r="F6" s="7">
        <v>0</v>
      </c>
      <c r="G6" s="7">
        <v>0</v>
      </c>
      <c r="H6" s="7">
        <v>0</v>
      </c>
      <c r="I6" s="7">
        <v>0</v>
      </c>
      <c r="J6" s="7">
        <v>42646154</v>
      </c>
      <c r="K6" s="7">
        <v>42646154</v>
      </c>
      <c r="L6" s="7">
        <v>42646154</v>
      </c>
      <c r="M6" s="7">
        <v>42646154</v>
      </c>
      <c r="N6" s="7">
        <v>42646153</v>
      </c>
      <c r="Q6" s="7">
        <f>SUM(C6:N6)</f>
        <v>213230769</v>
      </c>
    </row>
    <row r="7" spans="1:17" s="7" customFormat="1" ht="18" customHeight="1" x14ac:dyDescent="0.35">
      <c r="A7" s="7" t="s">
        <v>370</v>
      </c>
      <c r="C7" s="7">
        <f>SUM(C4:C6)</f>
        <v>282175271</v>
      </c>
      <c r="D7" s="7">
        <f t="shared" ref="D7:N7" si="0">SUM(D4:D6)</f>
        <v>658320615</v>
      </c>
      <c r="E7" s="7">
        <f t="shared" si="0"/>
        <v>526905161</v>
      </c>
      <c r="F7" s="7">
        <f t="shared" si="0"/>
        <v>809042568</v>
      </c>
      <c r="G7" s="7">
        <f t="shared" si="0"/>
        <v>896737603</v>
      </c>
      <c r="H7" s="7">
        <v>0</v>
      </c>
      <c r="I7" s="7">
        <f t="shared" si="0"/>
        <v>160045489</v>
      </c>
      <c r="J7" s="7">
        <f t="shared" si="0"/>
        <v>160045488</v>
      </c>
      <c r="K7" s="7">
        <f t="shared" si="0"/>
        <v>160045486</v>
      </c>
      <c r="L7" s="7">
        <f t="shared" si="0"/>
        <v>203765901</v>
      </c>
      <c r="M7" s="7">
        <f t="shared" si="0"/>
        <v>203765902</v>
      </c>
      <c r="N7" s="7">
        <f t="shared" si="0"/>
        <v>203765901</v>
      </c>
      <c r="Q7" s="7">
        <f>SUM(Q4:Q6)</f>
        <v>4264615385</v>
      </c>
    </row>
    <row r="8" spans="1:17" ht="18" customHeight="1" x14ac:dyDescent="0.35"/>
    <row r="9" spans="1:17" ht="18" customHeight="1" x14ac:dyDescent="0.35"/>
    <row r="10" spans="1:17" x14ac:dyDescent="0.35">
      <c r="A10" s="11" t="s">
        <v>356</v>
      </c>
      <c r="B10" s="35">
        <v>3.4020234989000003E-2</v>
      </c>
      <c r="C10" s="7">
        <f t="shared" ref="C10:Q10" si="1">$B$10*C7</f>
        <v>9599669.027504757</v>
      </c>
      <c r="D10" s="7">
        <f t="shared" si="1"/>
        <v>22396222.020403001</v>
      </c>
      <c r="E10" s="7">
        <f t="shared" si="1"/>
        <v>17925437.39413688</v>
      </c>
      <c r="F10" s="7">
        <f t="shared" si="1"/>
        <v>27523818.279464014</v>
      </c>
      <c r="G10" s="7">
        <f t="shared" si="1"/>
        <v>30507223.977532595</v>
      </c>
      <c r="H10" s="7">
        <v>1078605.3799999999</v>
      </c>
      <c r="I10" s="7">
        <f t="shared" si="1"/>
        <v>5444785.1447094148</v>
      </c>
      <c r="J10" s="7">
        <f t="shared" si="1"/>
        <v>5444785.11068918</v>
      </c>
      <c r="K10" s="7">
        <f t="shared" si="1"/>
        <v>5444785.0426487103</v>
      </c>
      <c r="L10" s="7">
        <f t="shared" si="1"/>
        <v>6932163.8347653104</v>
      </c>
      <c r="M10" s="7">
        <f t="shared" si="1"/>
        <v>6932163.8687855462</v>
      </c>
      <c r="N10" s="7">
        <f t="shared" si="1"/>
        <v>6932163.8347653104</v>
      </c>
      <c r="O10" s="7"/>
      <c r="P10" s="7"/>
      <c r="Q10" s="7">
        <f t="shared" si="1"/>
        <v>145083217.53540471</v>
      </c>
    </row>
    <row r="12" spans="1:17" x14ac:dyDescent="0.35">
      <c r="A12" s="3" t="s">
        <v>371</v>
      </c>
      <c r="B12" s="36">
        <v>0.5</v>
      </c>
      <c r="C12" s="7">
        <f>$B$12*C10</f>
        <v>4799834.5137523785</v>
      </c>
      <c r="D12" s="7">
        <f t="shared" ref="D12:Q12" si="2">$B$12*D10</f>
        <v>11198111.010201501</v>
      </c>
      <c r="E12" s="7">
        <f t="shared" si="2"/>
        <v>8962718.6970684398</v>
      </c>
      <c r="F12" s="7">
        <f t="shared" si="2"/>
        <v>13761909.139732007</v>
      </c>
      <c r="G12" s="7">
        <f t="shared" si="2"/>
        <v>15253611.988766298</v>
      </c>
      <c r="H12" s="7">
        <v>0</v>
      </c>
      <c r="I12" s="7">
        <f t="shared" si="2"/>
        <v>2722392.5723547074</v>
      </c>
      <c r="J12" s="7">
        <f t="shared" si="2"/>
        <v>2722392.55534459</v>
      </c>
      <c r="K12" s="7">
        <f t="shared" si="2"/>
        <v>2722392.5213243552</v>
      </c>
      <c r="L12" s="7">
        <f t="shared" si="2"/>
        <v>3466081.9173826552</v>
      </c>
      <c r="M12" s="7">
        <f t="shared" si="2"/>
        <v>3466081.9343927731</v>
      </c>
      <c r="N12" s="7">
        <f t="shared" si="2"/>
        <v>3466081.9173826552</v>
      </c>
      <c r="O12" s="7"/>
      <c r="P12" s="7"/>
      <c r="Q12" s="7">
        <f t="shared" si="2"/>
        <v>72541608.767702356</v>
      </c>
    </row>
    <row r="13" spans="1:17" x14ac:dyDescent="0.35">
      <c r="A13" s="3" t="s">
        <v>372</v>
      </c>
      <c r="B13" s="36"/>
      <c r="C13" s="7">
        <v>663757.16</v>
      </c>
      <c r="D13" s="7">
        <v>0</v>
      </c>
      <c r="E13" s="7">
        <v>1161575.03</v>
      </c>
      <c r="G13" s="7"/>
      <c r="H13" s="7">
        <v>1078605.3799999999</v>
      </c>
      <c r="I13" s="7"/>
      <c r="J13" s="7"/>
      <c r="K13" s="7"/>
      <c r="L13" s="7"/>
      <c r="M13" s="7"/>
      <c r="N13" s="7"/>
      <c r="O13" s="7"/>
      <c r="P13" s="7"/>
      <c r="Q13" s="7">
        <f>C13+D13+E13+H13</f>
        <v>2903937.57</v>
      </c>
    </row>
    <row r="14" spans="1:17" x14ac:dyDescent="0.35">
      <c r="A14" s="3" t="s">
        <v>373</v>
      </c>
      <c r="B14" s="36"/>
      <c r="C14" s="51">
        <f>1761.27-163.13</f>
        <v>1598.1399999999999</v>
      </c>
      <c r="D14" s="7">
        <v>465.52</v>
      </c>
      <c r="E14" s="7">
        <v>479.2</v>
      </c>
      <c r="F14" s="7">
        <v>760.18</v>
      </c>
      <c r="G14" s="7">
        <v>830.76</v>
      </c>
      <c r="H14" s="7">
        <v>0</v>
      </c>
      <c r="I14" s="40">
        <v>429.18</v>
      </c>
      <c r="J14" s="40">
        <v>429.17</v>
      </c>
      <c r="K14" s="40">
        <v>429.18</v>
      </c>
      <c r="L14" s="40">
        <v>546.41</v>
      </c>
      <c r="M14" s="40">
        <v>546.41999999999996</v>
      </c>
      <c r="N14" s="40">
        <v>546.41</v>
      </c>
      <c r="O14" s="7"/>
      <c r="P14" s="7"/>
    </row>
    <row r="15" spans="1:17" x14ac:dyDescent="0.35">
      <c r="A15" s="3" t="s">
        <v>359</v>
      </c>
      <c r="B15" s="36"/>
      <c r="C15" s="7">
        <f>C12+C13-C14</f>
        <v>5461993.533752379</v>
      </c>
      <c r="D15" s="7">
        <f>D12+D13+D14</f>
        <v>11198576.5302015</v>
      </c>
      <c r="E15" s="7">
        <f>E12+E13+E14</f>
        <v>10124772.927068438</v>
      </c>
      <c r="F15" s="7">
        <f>F12+F13+F14</f>
        <v>13762669.319732007</v>
      </c>
      <c r="G15" s="7">
        <f>G12+G13+G14</f>
        <v>15254442.748766297</v>
      </c>
      <c r="H15" s="7">
        <v>1078605.3799999999</v>
      </c>
      <c r="I15" s="7">
        <f>I12+I14</f>
        <v>2722821.7523547076</v>
      </c>
      <c r="J15" s="7">
        <f t="shared" ref="J15:N15" si="3">J12+J14</f>
        <v>2722821.7253445899</v>
      </c>
      <c r="K15" s="7">
        <f t="shared" si="3"/>
        <v>2722821.7013243553</v>
      </c>
      <c r="L15" s="7">
        <f t="shared" si="3"/>
        <v>3466628.3273826553</v>
      </c>
      <c r="M15" s="7">
        <f t="shared" si="3"/>
        <v>3466628.354392773</v>
      </c>
      <c r="N15" s="7">
        <f t="shared" si="3"/>
        <v>3466628.3273826553</v>
      </c>
      <c r="O15" s="7"/>
      <c r="P15" s="7"/>
      <c r="Q15" s="7">
        <f>SUM(C15:N15)</f>
        <v>75449410.62770237</v>
      </c>
    </row>
    <row r="16" spans="1:17" x14ac:dyDescent="0.35">
      <c r="B16" s="36"/>
      <c r="C16" s="7"/>
      <c r="D16" s="7"/>
      <c r="E16" s="7"/>
      <c r="F16" s="7"/>
      <c r="G16" s="7"/>
      <c r="H16" s="7"/>
      <c r="I16" s="7"/>
      <c r="J16" s="7"/>
      <c r="K16" s="7"/>
      <c r="L16" s="7"/>
      <c r="M16" s="7"/>
      <c r="N16" s="7"/>
      <c r="O16" s="7"/>
      <c r="P16" s="7"/>
      <c r="Q16" s="7"/>
    </row>
    <row r="17" spans="1:17" x14ac:dyDescent="0.35">
      <c r="A17" s="3" t="s">
        <v>360</v>
      </c>
      <c r="B17" s="36">
        <v>0.5</v>
      </c>
      <c r="C17" s="7">
        <f>$B$17*C10</f>
        <v>4799834.5137523785</v>
      </c>
      <c r="D17" s="7">
        <f t="shared" ref="D17:Q17" si="4">D10*0.5</f>
        <v>11198111.010201501</v>
      </c>
      <c r="E17" s="7">
        <f t="shared" si="4"/>
        <v>8962718.6970684398</v>
      </c>
      <c r="F17" s="7">
        <f t="shared" si="4"/>
        <v>13761909.139732007</v>
      </c>
      <c r="G17" s="7">
        <f t="shared" si="4"/>
        <v>15253611.988766298</v>
      </c>
      <c r="H17" s="7">
        <v>0</v>
      </c>
      <c r="I17" s="7">
        <f t="shared" si="4"/>
        <v>2722392.5723547074</v>
      </c>
      <c r="J17" s="7">
        <f t="shared" si="4"/>
        <v>2722392.55534459</v>
      </c>
      <c r="K17" s="7">
        <f t="shared" si="4"/>
        <v>2722392.5213243552</v>
      </c>
      <c r="L17" s="7">
        <f t="shared" si="4"/>
        <v>3466081.9173826552</v>
      </c>
      <c r="M17" s="7">
        <f t="shared" si="4"/>
        <v>3466081.9343927731</v>
      </c>
      <c r="N17" s="7">
        <f t="shared" si="4"/>
        <v>3466081.9173826552</v>
      </c>
      <c r="O17" s="7"/>
      <c r="P17" s="7"/>
      <c r="Q17" s="7">
        <f t="shared" si="4"/>
        <v>72541608.767702356</v>
      </c>
    </row>
    <row r="18" spans="1:17" x14ac:dyDescent="0.35">
      <c r="A18" s="37" t="s">
        <v>361</v>
      </c>
      <c r="B18" s="36">
        <v>3.0000000000000001E-3</v>
      </c>
      <c r="C18" s="51">
        <f>$B$18*C17</f>
        <v>14399.503541257136</v>
      </c>
      <c r="D18" s="51">
        <f t="shared" ref="D18:N18" si="5">$B$18*D17</f>
        <v>33594.333030604503</v>
      </c>
      <c r="E18" s="51">
        <f t="shared" si="5"/>
        <v>26888.156091205321</v>
      </c>
      <c r="F18" s="51">
        <f t="shared" si="5"/>
        <v>41285.727419196024</v>
      </c>
      <c r="G18" s="51">
        <f t="shared" si="5"/>
        <v>45760.835966298895</v>
      </c>
      <c r="H18" s="51">
        <v>0</v>
      </c>
      <c r="I18" s="51">
        <f t="shared" si="5"/>
        <v>8167.1777170641226</v>
      </c>
      <c r="J18" s="51">
        <f t="shared" si="5"/>
        <v>8167.17766603377</v>
      </c>
      <c r="K18" s="51">
        <f t="shared" si="5"/>
        <v>8167.1775639730658</v>
      </c>
      <c r="L18" s="51">
        <f t="shared" si="5"/>
        <v>10398.245752147966</v>
      </c>
      <c r="M18" s="51">
        <f t="shared" si="5"/>
        <v>10398.245803178319</v>
      </c>
      <c r="N18" s="51">
        <f t="shared" si="5"/>
        <v>10398.245752147966</v>
      </c>
      <c r="O18" s="34"/>
      <c r="P18" s="34"/>
      <c r="Q18" s="51">
        <f>Q17*0.003</f>
        <v>217624.82630310708</v>
      </c>
    </row>
    <row r="19" spans="1:17" x14ac:dyDescent="0.35">
      <c r="A19" s="37" t="s">
        <v>362</v>
      </c>
      <c r="B19" s="36">
        <v>0.05</v>
      </c>
      <c r="C19" s="51">
        <f t="shared" ref="C19:N19" si="6">$B$19*C17</f>
        <v>239991.72568761895</v>
      </c>
      <c r="D19" s="51">
        <f t="shared" si="6"/>
        <v>559905.55051007506</v>
      </c>
      <c r="E19" s="51">
        <f t="shared" si="6"/>
        <v>448135.93485342199</v>
      </c>
      <c r="F19" s="51">
        <f t="shared" si="6"/>
        <v>688095.45698660042</v>
      </c>
      <c r="G19" s="51">
        <f t="shared" si="6"/>
        <v>762680.59943831491</v>
      </c>
      <c r="H19" s="51">
        <v>0</v>
      </c>
      <c r="I19" s="51">
        <f t="shared" si="6"/>
        <v>136119.62861773538</v>
      </c>
      <c r="J19" s="51">
        <f t="shared" si="6"/>
        <v>136119.62776722951</v>
      </c>
      <c r="K19" s="51">
        <f t="shared" si="6"/>
        <v>136119.62606621775</v>
      </c>
      <c r="L19" s="51">
        <f t="shared" si="6"/>
        <v>173304.09586913278</v>
      </c>
      <c r="M19" s="51">
        <f t="shared" si="6"/>
        <v>173304.09671963868</v>
      </c>
      <c r="N19" s="51">
        <f t="shared" si="6"/>
        <v>173304.09586913278</v>
      </c>
      <c r="O19" s="34"/>
      <c r="P19" s="34"/>
      <c r="Q19" s="51">
        <f>$B$19*Q17</f>
        <v>3627080.4383851178</v>
      </c>
    </row>
    <row r="20" spans="1:17" x14ac:dyDescent="0.35">
      <c r="A20" s="37" t="s">
        <v>363</v>
      </c>
      <c r="B20" s="36"/>
      <c r="C20" s="51">
        <v>1276879.52948259</v>
      </c>
      <c r="D20" s="51">
        <v>1276879.52948259</v>
      </c>
      <c r="E20" s="51">
        <v>1276879.52948259</v>
      </c>
      <c r="F20" s="51">
        <v>1276879.52948259</v>
      </c>
      <c r="G20" s="51">
        <v>1276879.52948259</v>
      </c>
      <c r="H20" s="51">
        <v>0</v>
      </c>
      <c r="I20" s="54">
        <v>0</v>
      </c>
      <c r="J20" s="54">
        <v>0</v>
      </c>
      <c r="K20" s="54">
        <v>0</v>
      </c>
      <c r="L20" s="54">
        <v>0</v>
      </c>
      <c r="M20" s="54">
        <v>0</v>
      </c>
      <c r="N20" s="54">
        <v>0</v>
      </c>
      <c r="O20" s="41"/>
      <c r="P20" s="41"/>
      <c r="Q20" s="51">
        <f>(C20+D20+E20+F20+G20)-(O22+P22)</f>
        <v>3134463.9084477704</v>
      </c>
    </row>
    <row r="21" spans="1:17" x14ac:dyDescent="0.35">
      <c r="A21" s="37" t="s">
        <v>364</v>
      </c>
      <c r="B21" s="36"/>
      <c r="C21" s="40">
        <v>1761.27</v>
      </c>
      <c r="D21" s="51">
        <v>465.52</v>
      </c>
      <c r="E21" s="51">
        <v>479.2</v>
      </c>
      <c r="F21" s="51">
        <v>760.18</v>
      </c>
      <c r="G21" s="51">
        <v>830.76</v>
      </c>
      <c r="H21" s="51">
        <v>0</v>
      </c>
      <c r="I21" s="51">
        <v>429.18</v>
      </c>
      <c r="J21" s="51">
        <v>429.17</v>
      </c>
      <c r="K21" s="51">
        <v>429.18</v>
      </c>
      <c r="L21" s="51">
        <v>546.41</v>
      </c>
      <c r="M21" s="51">
        <v>546.41999999999996</v>
      </c>
      <c r="N21" s="51">
        <v>546.41</v>
      </c>
      <c r="O21" s="41"/>
      <c r="P21" s="41"/>
      <c r="Q21" s="34"/>
    </row>
    <row r="22" spans="1:17" x14ac:dyDescent="0.35">
      <c r="A22" s="3" t="s">
        <v>365</v>
      </c>
      <c r="C22" s="7">
        <f>(C17+C21)-(C18+C19+C20)</f>
        <v>3270325.025040912</v>
      </c>
      <c r="D22" s="7">
        <f>D17-(D18+D19+D20)</f>
        <v>9327731.5971782319</v>
      </c>
      <c r="E22" s="7">
        <f t="shared" ref="E22:G22" si="7">E17-(E18+E19+E20)</f>
        <v>7210815.0766412225</v>
      </c>
      <c r="F22" s="7">
        <f t="shared" si="7"/>
        <v>11755648.425843621</v>
      </c>
      <c r="G22" s="7">
        <f t="shared" si="7"/>
        <v>13168291.023879094</v>
      </c>
      <c r="H22" s="7">
        <v>0</v>
      </c>
      <c r="I22" s="7">
        <f>I17-(I18+I19+I20+I21)</f>
        <v>2577676.5860199081</v>
      </c>
      <c r="J22" s="7">
        <f t="shared" ref="J22:N22" si="8">J17-(J18+J19+J20+J21)</f>
        <v>2577676.5799113265</v>
      </c>
      <c r="K22" s="7">
        <f t="shared" si="8"/>
        <v>2577676.5376941646</v>
      </c>
      <c r="L22" s="7">
        <f t="shared" si="8"/>
        <v>3281833.1657613744</v>
      </c>
      <c r="M22" s="7">
        <f t="shared" si="8"/>
        <v>3281833.171869956</v>
      </c>
      <c r="N22" s="7">
        <f t="shared" si="8"/>
        <v>3281833.1657613744</v>
      </c>
      <c r="O22" s="7">
        <f>3249933.73896518-P22</f>
        <v>3067672.97896518</v>
      </c>
      <c r="P22" s="7">
        <v>182260.76</v>
      </c>
      <c r="Q22" s="7">
        <f>SUM(C22:P22)</f>
        <v>65561274.094566368</v>
      </c>
    </row>
    <row r="26" spans="1:17" x14ac:dyDescent="0.35">
      <c r="F26" s="7"/>
      <c r="Q26" s="7"/>
    </row>
  </sheetData>
  <sheetProtection algorithmName="SHA-512" hashValue="Z/2TgD21fUcdN3+d7BJ9n9NJLPQmgdLpQEXAoLKpuTd+JUitab/Wb6WjhqFGTcoLMJqBsoEMeyT0FNKI2QSSGQ==" saltValue="UW8A42kc/BgjbHkVy/9nCw==" spinCount="100000" sheet="1" sort="0" autoFilter="0"/>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2903-7253-446F-96D9-F7101966BF5A}">
  <sheetPr codeName="Sheet23"/>
  <dimension ref="A1:T20"/>
  <sheetViews>
    <sheetView workbookViewId="0"/>
  </sheetViews>
  <sheetFormatPr defaultColWidth="9.109375" defaultRowHeight="18" x14ac:dyDescent="0.35"/>
  <cols>
    <col min="1" max="1" width="78.44140625" style="3" bestFit="1" customWidth="1"/>
    <col min="2" max="2" width="19.6640625" style="3" customWidth="1"/>
    <col min="3" max="13" width="19.109375" style="3" bestFit="1" customWidth="1"/>
    <col min="14" max="14" width="21.109375" style="3" bestFit="1" customWidth="1"/>
    <col min="15" max="17" width="19.109375" style="3" bestFit="1" customWidth="1"/>
    <col min="18" max="19" width="17.88671875" style="3" bestFit="1" customWidth="1"/>
    <col min="20" max="20" width="16.44140625" style="3" bestFit="1" customWidth="1"/>
    <col min="21" max="21" width="21.109375" style="3" bestFit="1" customWidth="1"/>
    <col min="22" max="16384" width="9.109375" style="3"/>
  </cols>
  <sheetData>
    <row r="1" spans="1:20" ht="22.8" x14ac:dyDescent="0.4">
      <c r="A1" s="38" t="s">
        <v>424</v>
      </c>
    </row>
    <row r="2" spans="1:20" s="11" customFormat="1" ht="17.399999999999999" x14ac:dyDescent="0.3">
      <c r="B2" s="11" t="s">
        <v>350</v>
      </c>
      <c r="C2" s="11" t="s">
        <v>311</v>
      </c>
      <c r="D2" s="11" t="s">
        <v>312</v>
      </c>
      <c r="E2" s="11" t="s">
        <v>313</v>
      </c>
      <c r="F2" s="11" t="s">
        <v>314</v>
      </c>
      <c r="G2" s="11" t="s">
        <v>315</v>
      </c>
      <c r="H2" s="11" t="s">
        <v>321</v>
      </c>
      <c r="I2" s="11" t="s">
        <v>322</v>
      </c>
      <c r="J2" s="11" t="s">
        <v>323</v>
      </c>
      <c r="K2" s="11" t="s">
        <v>324</v>
      </c>
      <c r="L2" s="11" t="s">
        <v>325</v>
      </c>
      <c r="M2" s="11" t="s">
        <v>326</v>
      </c>
      <c r="N2" s="11" t="s">
        <v>13</v>
      </c>
    </row>
    <row r="3" spans="1:20" x14ac:dyDescent="0.35">
      <c r="A3" s="11" t="s">
        <v>351</v>
      </c>
      <c r="B3" s="11"/>
      <c r="C3" s="3">
        <v>2025</v>
      </c>
      <c r="D3" s="3">
        <v>2025</v>
      </c>
      <c r="E3" s="3">
        <v>2026</v>
      </c>
      <c r="F3" s="3">
        <v>2027</v>
      </c>
      <c r="G3" s="3">
        <v>2028</v>
      </c>
      <c r="H3" s="3">
        <v>2029</v>
      </c>
      <c r="I3" s="3">
        <v>2030</v>
      </c>
      <c r="J3" s="3">
        <v>2031</v>
      </c>
      <c r="K3" s="3">
        <v>2032</v>
      </c>
      <c r="L3" s="3">
        <v>2033</v>
      </c>
      <c r="M3" s="3">
        <v>2034</v>
      </c>
    </row>
    <row r="4" spans="1:20" s="7" customFormat="1" ht="18" customHeight="1" x14ac:dyDescent="0.35">
      <c r="A4" s="7" t="s">
        <v>425</v>
      </c>
      <c r="C4" s="7">
        <v>109090909.09</v>
      </c>
      <c r="D4" s="7">
        <v>34690909.090000004</v>
      </c>
      <c r="E4" s="7">
        <v>34690909.090000004</v>
      </c>
      <c r="F4" s="7">
        <v>34690909.090000004</v>
      </c>
      <c r="G4" s="7">
        <v>34690909.090000004</v>
      </c>
      <c r="H4" s="7">
        <v>34690909.090000004</v>
      </c>
      <c r="I4" s="7">
        <v>34690909.090000004</v>
      </c>
      <c r="J4" s="7">
        <v>34690909.090000004</v>
      </c>
      <c r="K4" s="7">
        <v>34690909.090000004</v>
      </c>
      <c r="L4" s="7">
        <v>34690909.090000004</v>
      </c>
      <c r="M4" s="7">
        <v>34690909.100000001</v>
      </c>
    </row>
    <row r="5" spans="1:20" s="7" customFormat="1" ht="18" customHeight="1" x14ac:dyDescent="0.35">
      <c r="A5" s="7" t="s">
        <v>426</v>
      </c>
      <c r="C5" s="7">
        <v>0</v>
      </c>
      <c r="D5" s="7">
        <v>74400000</v>
      </c>
      <c r="E5" s="7">
        <v>74400000</v>
      </c>
      <c r="F5" s="7">
        <v>74400000</v>
      </c>
      <c r="G5" s="7">
        <v>74400000</v>
      </c>
      <c r="H5" s="7">
        <v>74400000</v>
      </c>
      <c r="I5" s="7">
        <v>74400000</v>
      </c>
      <c r="J5" s="7">
        <v>74400000</v>
      </c>
      <c r="K5" s="7">
        <v>74400000</v>
      </c>
      <c r="L5" s="7">
        <v>74400000</v>
      </c>
      <c r="M5" s="7">
        <v>74400000</v>
      </c>
    </row>
    <row r="6" spans="1:20" s="7" customFormat="1" ht="18" customHeight="1" x14ac:dyDescent="0.35">
      <c r="A6" s="7" t="s">
        <v>427</v>
      </c>
      <c r="C6" s="7">
        <v>0</v>
      </c>
      <c r="D6" s="7">
        <v>0</v>
      </c>
      <c r="E6" s="7">
        <v>0</v>
      </c>
      <c r="F6" s="7">
        <v>0</v>
      </c>
      <c r="G6" s="7">
        <v>0</v>
      </c>
      <c r="H6" s="7">
        <v>0</v>
      </c>
      <c r="I6" s="7">
        <v>0</v>
      </c>
      <c r="J6" s="7">
        <v>0</v>
      </c>
      <c r="K6" s="7">
        <v>0</v>
      </c>
      <c r="L6" s="7">
        <v>0</v>
      </c>
      <c r="M6" s="7">
        <v>0</v>
      </c>
    </row>
    <row r="7" spans="1:20" s="7" customFormat="1" ht="18" customHeight="1" x14ac:dyDescent="0.35">
      <c r="A7" s="7" t="s">
        <v>428</v>
      </c>
      <c r="C7" s="7">
        <f>SUM(C4:C6)</f>
        <v>109090909.09</v>
      </c>
      <c r="D7" s="7">
        <f t="shared" ref="D7:M7" si="0">SUM(D4:D6)</f>
        <v>109090909.09</v>
      </c>
      <c r="E7" s="7">
        <f t="shared" si="0"/>
        <v>109090909.09</v>
      </c>
      <c r="F7" s="7">
        <f t="shared" si="0"/>
        <v>109090909.09</v>
      </c>
      <c r="G7" s="7">
        <f t="shared" si="0"/>
        <v>109090909.09</v>
      </c>
      <c r="H7" s="7">
        <f t="shared" si="0"/>
        <v>109090909.09</v>
      </c>
      <c r="I7" s="7">
        <f t="shared" si="0"/>
        <v>109090909.09</v>
      </c>
      <c r="J7" s="7">
        <f t="shared" si="0"/>
        <v>109090909.09</v>
      </c>
      <c r="K7" s="7">
        <f t="shared" si="0"/>
        <v>109090909.09</v>
      </c>
      <c r="L7" s="7">
        <f t="shared" si="0"/>
        <v>109090909.09</v>
      </c>
      <c r="M7" s="7">
        <f t="shared" si="0"/>
        <v>109090909.09999999</v>
      </c>
      <c r="N7" s="7">
        <f>SUM(C7:M7)</f>
        <v>1200000000</v>
      </c>
    </row>
    <row r="8" spans="1:20" ht="18.75" customHeight="1" x14ac:dyDescent="0.35"/>
    <row r="9" spans="1:20" x14ac:dyDescent="0.35">
      <c r="A9" s="11" t="s">
        <v>379</v>
      </c>
      <c r="B9" s="35">
        <v>3.4928147567000002E-2</v>
      </c>
      <c r="C9" s="7">
        <f t="shared" ref="C9:M9" si="1">$B$9*C7</f>
        <v>3810343.3709137021</v>
      </c>
      <c r="D9" s="7">
        <f t="shared" si="1"/>
        <v>3810343.3709137021</v>
      </c>
      <c r="E9" s="7">
        <f t="shared" si="1"/>
        <v>3810343.3709137021</v>
      </c>
      <c r="F9" s="7">
        <f t="shared" si="1"/>
        <v>3810343.3709137021</v>
      </c>
      <c r="G9" s="7">
        <f t="shared" si="1"/>
        <v>3810343.3709137021</v>
      </c>
      <c r="H9" s="7">
        <f t="shared" si="1"/>
        <v>3810343.3709137021</v>
      </c>
      <c r="I9" s="7">
        <f t="shared" si="1"/>
        <v>3810343.3709137021</v>
      </c>
      <c r="J9" s="7">
        <f t="shared" si="1"/>
        <v>3810343.3709137021</v>
      </c>
      <c r="K9" s="7">
        <f t="shared" si="1"/>
        <v>3810343.3709137021</v>
      </c>
      <c r="L9" s="7">
        <f t="shared" si="1"/>
        <v>3810343.3709137021</v>
      </c>
      <c r="M9" s="7">
        <f t="shared" si="1"/>
        <v>3810343.3712629834</v>
      </c>
      <c r="N9" s="7">
        <f>SUM(B9:M9)</f>
        <v>41913777.115328148</v>
      </c>
      <c r="O9" s="7"/>
      <c r="P9" s="7"/>
      <c r="Q9" s="7"/>
      <c r="R9" s="7"/>
      <c r="S9" s="7"/>
      <c r="T9" s="7"/>
    </row>
    <row r="10" spans="1:20" x14ac:dyDescent="0.35">
      <c r="A10" s="11" t="s">
        <v>429</v>
      </c>
      <c r="B10" s="35">
        <v>3.6565857005999999E-2</v>
      </c>
      <c r="C10" s="7"/>
      <c r="D10" s="7"/>
      <c r="E10" s="7"/>
      <c r="F10" s="7"/>
      <c r="G10" s="7"/>
      <c r="H10" s="7"/>
      <c r="I10" s="7"/>
      <c r="J10" s="7"/>
      <c r="K10" s="7"/>
      <c r="L10" s="7"/>
      <c r="M10" s="7"/>
      <c r="N10" s="7"/>
      <c r="O10" s="7"/>
      <c r="P10" s="7"/>
      <c r="Q10" s="7"/>
      <c r="R10" s="7"/>
      <c r="S10" s="7"/>
      <c r="T10" s="7"/>
    </row>
    <row r="12" spans="1:20" x14ac:dyDescent="0.35">
      <c r="A12" s="3" t="s">
        <v>430</v>
      </c>
      <c r="B12" s="36">
        <v>0.5</v>
      </c>
      <c r="C12" s="7">
        <f t="shared" ref="C12:M12" si="2">$B$12*C9</f>
        <v>1905171.685456851</v>
      </c>
      <c r="D12" s="7">
        <f t="shared" si="2"/>
        <v>1905171.685456851</v>
      </c>
      <c r="E12" s="7">
        <f t="shared" si="2"/>
        <v>1905171.685456851</v>
      </c>
      <c r="F12" s="7">
        <f t="shared" si="2"/>
        <v>1905171.685456851</v>
      </c>
      <c r="G12" s="7">
        <f t="shared" si="2"/>
        <v>1905171.685456851</v>
      </c>
      <c r="H12" s="7">
        <f t="shared" si="2"/>
        <v>1905171.685456851</v>
      </c>
      <c r="I12" s="7">
        <f t="shared" si="2"/>
        <v>1905171.685456851</v>
      </c>
      <c r="J12" s="7">
        <f t="shared" si="2"/>
        <v>1905171.685456851</v>
      </c>
      <c r="K12" s="7">
        <f t="shared" si="2"/>
        <v>1905171.685456851</v>
      </c>
      <c r="L12" s="7">
        <f t="shared" si="2"/>
        <v>1905171.685456851</v>
      </c>
      <c r="M12" s="7">
        <f t="shared" si="2"/>
        <v>1905171.6856314917</v>
      </c>
      <c r="N12" s="7">
        <f>SUM(B12:M12)</f>
        <v>20956889.040200002</v>
      </c>
      <c r="O12" s="7"/>
      <c r="P12" s="7"/>
      <c r="Q12" s="7"/>
      <c r="R12" s="7"/>
      <c r="S12" s="7"/>
      <c r="T12" s="7"/>
    </row>
    <row r="13" spans="1:20" x14ac:dyDescent="0.35">
      <c r="A13" s="3" t="s">
        <v>373</v>
      </c>
      <c r="B13" s="36"/>
      <c r="C13" s="51"/>
      <c r="D13" s="40"/>
      <c r="E13" s="40"/>
      <c r="F13" s="40"/>
      <c r="G13" s="40"/>
      <c r="H13" s="40"/>
      <c r="I13" s="40"/>
      <c r="J13" s="40"/>
      <c r="K13" s="40"/>
      <c r="L13" s="40"/>
      <c r="M13" s="40"/>
      <c r="N13" s="7"/>
      <c r="O13" s="40"/>
      <c r="P13" s="40"/>
      <c r="Q13" s="40"/>
      <c r="R13" s="7"/>
      <c r="S13" s="7"/>
      <c r="T13" s="7"/>
    </row>
    <row r="14" spans="1:20" x14ac:dyDescent="0.35">
      <c r="A14" s="3" t="s">
        <v>406</v>
      </c>
      <c r="B14" s="36"/>
      <c r="C14" s="7">
        <f>C12</f>
        <v>1905171.685456851</v>
      </c>
      <c r="D14" s="7">
        <f t="shared" ref="D14:M14" si="3">D12</f>
        <v>1905171.685456851</v>
      </c>
      <c r="E14" s="7">
        <f t="shared" si="3"/>
        <v>1905171.685456851</v>
      </c>
      <c r="F14" s="7">
        <f t="shared" si="3"/>
        <v>1905171.685456851</v>
      </c>
      <c r="G14" s="7">
        <f t="shared" si="3"/>
        <v>1905171.685456851</v>
      </c>
      <c r="H14" s="7">
        <f t="shared" si="3"/>
        <v>1905171.685456851</v>
      </c>
      <c r="I14" s="7">
        <f t="shared" si="3"/>
        <v>1905171.685456851</v>
      </c>
      <c r="J14" s="7">
        <f t="shared" si="3"/>
        <v>1905171.685456851</v>
      </c>
      <c r="K14" s="7">
        <f t="shared" si="3"/>
        <v>1905171.685456851</v>
      </c>
      <c r="L14" s="7">
        <f t="shared" si="3"/>
        <v>1905171.685456851</v>
      </c>
      <c r="M14" s="7">
        <f t="shared" si="3"/>
        <v>1905171.6856314917</v>
      </c>
      <c r="N14" s="7"/>
      <c r="O14" s="7"/>
      <c r="P14" s="7"/>
      <c r="Q14" s="7"/>
      <c r="R14" s="7"/>
      <c r="S14" s="7"/>
    </row>
    <row r="15" spans="1:20" x14ac:dyDescent="0.35">
      <c r="B15" s="36"/>
      <c r="C15" s="7"/>
      <c r="D15" s="7"/>
      <c r="E15" s="7"/>
      <c r="F15" s="7"/>
      <c r="G15" s="7"/>
      <c r="H15" s="7"/>
      <c r="I15" s="7"/>
      <c r="J15" s="7"/>
      <c r="K15" s="7"/>
      <c r="L15" s="7"/>
      <c r="M15" s="7"/>
      <c r="N15" s="7"/>
      <c r="O15" s="7"/>
      <c r="P15" s="7"/>
      <c r="Q15" s="7"/>
      <c r="R15" s="7"/>
      <c r="S15" s="7"/>
      <c r="T15" s="7"/>
    </row>
    <row r="16" spans="1:20" x14ac:dyDescent="0.35">
      <c r="A16" s="3" t="s">
        <v>380</v>
      </c>
      <c r="B16" s="36">
        <v>0.5</v>
      </c>
      <c r="C16" s="7">
        <f>$B$16*C9</f>
        <v>1905171.685456851</v>
      </c>
      <c r="D16" s="7">
        <f t="shared" ref="D16:M16" si="4">D9*0.5</f>
        <v>1905171.685456851</v>
      </c>
      <c r="E16" s="7">
        <f t="shared" si="4"/>
        <v>1905171.685456851</v>
      </c>
      <c r="F16" s="7">
        <f t="shared" si="4"/>
        <v>1905171.685456851</v>
      </c>
      <c r="G16" s="7">
        <f t="shared" si="4"/>
        <v>1905171.685456851</v>
      </c>
      <c r="H16" s="7">
        <f t="shared" si="4"/>
        <v>1905171.685456851</v>
      </c>
      <c r="I16" s="7">
        <f t="shared" si="4"/>
        <v>1905171.685456851</v>
      </c>
      <c r="J16" s="7">
        <f t="shared" si="4"/>
        <v>1905171.685456851</v>
      </c>
      <c r="K16" s="7">
        <f t="shared" si="4"/>
        <v>1905171.685456851</v>
      </c>
      <c r="L16" s="7">
        <f t="shared" si="4"/>
        <v>1905171.685456851</v>
      </c>
      <c r="M16" s="7">
        <f t="shared" si="4"/>
        <v>1905171.6856314917</v>
      </c>
      <c r="N16" s="7"/>
      <c r="O16" s="7"/>
      <c r="P16" s="7"/>
      <c r="Q16" s="7"/>
      <c r="R16" s="7"/>
      <c r="S16" s="7"/>
      <c r="T16" s="7"/>
    </row>
    <row r="17" spans="1:20" x14ac:dyDescent="0.35">
      <c r="A17" s="37" t="s">
        <v>363</v>
      </c>
      <c r="B17" s="36">
        <v>0.05</v>
      </c>
      <c r="C17" s="51">
        <f t="shared" ref="C17:I17" si="5">$B$17*C16</f>
        <v>95258.584272842563</v>
      </c>
      <c r="D17" s="51">
        <f t="shared" si="5"/>
        <v>95258.584272842563</v>
      </c>
      <c r="E17" s="51">
        <f t="shared" si="5"/>
        <v>95258.584272842563</v>
      </c>
      <c r="F17" s="51">
        <f t="shared" si="5"/>
        <v>95258.584272842563</v>
      </c>
      <c r="G17" s="51">
        <f t="shared" si="5"/>
        <v>95258.584272842563</v>
      </c>
      <c r="H17" s="51">
        <f t="shared" si="5"/>
        <v>95258.584272842563</v>
      </c>
      <c r="I17" s="51">
        <f t="shared" si="5"/>
        <v>95258.584272842563</v>
      </c>
      <c r="J17" s="51"/>
      <c r="K17" s="51"/>
      <c r="L17" s="51"/>
      <c r="M17" s="51"/>
      <c r="N17" s="51"/>
      <c r="O17" s="51"/>
      <c r="P17" s="51"/>
      <c r="Q17" s="51"/>
      <c r="R17" s="34"/>
      <c r="S17" s="34"/>
      <c r="T17" s="34"/>
    </row>
    <row r="18" spans="1:20" x14ac:dyDescent="0.35">
      <c r="A18" s="37" t="s">
        <v>364</v>
      </c>
      <c r="B18" s="36"/>
      <c r="O18" s="51"/>
      <c r="P18" s="51"/>
      <c r="Q18" s="51"/>
      <c r="R18" s="34"/>
      <c r="S18" s="34"/>
      <c r="T18" s="34"/>
    </row>
    <row r="19" spans="1:20" x14ac:dyDescent="0.35">
      <c r="A19" s="3" t="s">
        <v>381</v>
      </c>
      <c r="C19" s="40">
        <f t="shared" ref="C19:I19" si="6">C16-C17</f>
        <v>1809913.1011840084</v>
      </c>
      <c r="D19" s="40">
        <f t="shared" si="6"/>
        <v>1809913.1011840084</v>
      </c>
      <c r="E19" s="40">
        <f t="shared" si="6"/>
        <v>1809913.1011840084</v>
      </c>
      <c r="F19" s="40">
        <f t="shared" si="6"/>
        <v>1809913.1011840084</v>
      </c>
      <c r="G19" s="40">
        <f t="shared" si="6"/>
        <v>1809913.1011840084</v>
      </c>
      <c r="H19" s="40">
        <f t="shared" si="6"/>
        <v>1809913.1011840084</v>
      </c>
      <c r="I19" s="40">
        <f t="shared" si="6"/>
        <v>1809913.1011840084</v>
      </c>
      <c r="J19" s="40">
        <f>J16</f>
        <v>1905171.685456851</v>
      </c>
      <c r="K19" s="40">
        <f>K16</f>
        <v>1905171.685456851</v>
      </c>
      <c r="L19" s="40">
        <f>L16</f>
        <v>1905171.685456851</v>
      </c>
      <c r="M19" s="40">
        <f>M16</f>
        <v>1905171.6856314917</v>
      </c>
      <c r="N19" s="40">
        <f>SUM(C19:M19)</f>
        <v>20290078.450290103</v>
      </c>
      <c r="O19" s="7"/>
      <c r="P19" s="7"/>
      <c r="Q19" s="7"/>
      <c r="R19" s="7"/>
      <c r="S19" s="7"/>
      <c r="T19" s="7"/>
    </row>
    <row r="20" spans="1:20" x14ac:dyDescent="0.35">
      <c r="A20" s="37"/>
      <c r="G20" s="7"/>
    </row>
  </sheetData>
  <sheetProtection algorithmName="SHA-512" hashValue="wxAdZPsvT28+NYSLFhSgytJgmBEz/T9/XyUAz0gGeCEprPT/DlWgrZDqQ3O6giDRIDVjpHu4pILutQpYx9DdLw==" saltValue="zn/AP0XBmLbg3g8pXEM9rg==" spinCount="100000" sheet="1" sort="0" autoFilter="0" pivotTables="0"/>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C87D-CF1D-43A4-B7EE-388F8C41AD1D}">
  <dimension ref="A1:K15"/>
  <sheetViews>
    <sheetView workbookViewId="0"/>
  </sheetViews>
  <sheetFormatPr defaultRowHeight="14.4" x14ac:dyDescent="0.3"/>
  <cols>
    <col min="1" max="1" width="18.109375" customWidth="1"/>
    <col min="2" max="2" width="22.109375" customWidth="1"/>
    <col min="3" max="3" width="23.6640625" customWidth="1"/>
    <col min="4" max="4" width="20.109375" customWidth="1"/>
    <col min="11" max="11" width="20" customWidth="1"/>
  </cols>
  <sheetData>
    <row r="1" spans="1:11" ht="22.8" x14ac:dyDescent="0.4">
      <c r="A1" s="83" t="s">
        <v>449</v>
      </c>
      <c r="B1" s="38"/>
    </row>
    <row r="3" spans="1:11" ht="55.5" customHeight="1" x14ac:dyDescent="0.3">
      <c r="A3" s="115" t="s">
        <v>450</v>
      </c>
      <c r="B3" s="115"/>
      <c r="C3" s="116"/>
      <c r="D3" s="116"/>
    </row>
    <row r="5" spans="1:11" ht="17.399999999999999" x14ac:dyDescent="0.3">
      <c r="A5" s="11" t="s">
        <v>448</v>
      </c>
      <c r="B5" s="11" t="s">
        <v>451</v>
      </c>
      <c r="C5" s="11">
        <v>2024</v>
      </c>
      <c r="D5" s="11">
        <v>2025</v>
      </c>
    </row>
    <row r="6" spans="1:11" ht="18" x14ac:dyDescent="0.35">
      <c r="A6" s="3" t="s">
        <v>9</v>
      </c>
      <c r="B6" s="3" t="s">
        <v>270</v>
      </c>
      <c r="C6" s="7">
        <v>680866.51</v>
      </c>
      <c r="D6" s="7">
        <v>0</v>
      </c>
    </row>
    <row r="7" spans="1:11" ht="18" x14ac:dyDescent="0.35">
      <c r="A7" s="3" t="s">
        <v>304</v>
      </c>
      <c r="B7" s="3" t="s">
        <v>270</v>
      </c>
      <c r="C7" s="7">
        <v>3819005.43</v>
      </c>
      <c r="D7" s="7">
        <v>0</v>
      </c>
    </row>
    <row r="8" spans="1:11" ht="18" x14ac:dyDescent="0.35">
      <c r="A8" s="3" t="s">
        <v>8</v>
      </c>
      <c r="B8" s="3" t="s">
        <v>270</v>
      </c>
      <c r="C8" s="7">
        <v>1656454.3</v>
      </c>
      <c r="D8" s="7">
        <v>0</v>
      </c>
    </row>
    <row r="9" spans="1:11" ht="18" x14ac:dyDescent="0.35">
      <c r="A9" s="3" t="s">
        <v>12</v>
      </c>
      <c r="B9" s="3" t="s">
        <v>270</v>
      </c>
      <c r="C9" s="7">
        <v>3564531.64</v>
      </c>
      <c r="D9" s="7">
        <v>0</v>
      </c>
      <c r="K9" s="78"/>
    </row>
    <row r="10" spans="1:11" ht="18" x14ac:dyDescent="0.35">
      <c r="A10" s="3" t="s">
        <v>11</v>
      </c>
      <c r="B10" s="3" t="s">
        <v>270</v>
      </c>
      <c r="C10" s="7">
        <v>4033787.12</v>
      </c>
      <c r="D10" s="7">
        <v>0</v>
      </c>
      <c r="K10" s="78"/>
    </row>
    <row r="11" spans="1:11" ht="18" x14ac:dyDescent="0.35">
      <c r="A11" s="3" t="s">
        <v>12</v>
      </c>
      <c r="B11" s="3" t="s">
        <v>270</v>
      </c>
      <c r="C11" s="26">
        <v>4461888.4000000004</v>
      </c>
      <c r="D11" s="7">
        <v>0</v>
      </c>
      <c r="K11" s="79"/>
    </row>
    <row r="12" spans="1:11" ht="18" x14ac:dyDescent="0.35">
      <c r="A12" s="3" t="s">
        <v>12</v>
      </c>
      <c r="B12" s="3" t="s">
        <v>270</v>
      </c>
      <c r="C12" s="7">
        <v>0</v>
      </c>
      <c r="D12" s="82">
        <v>1495081.41</v>
      </c>
      <c r="K12" s="79"/>
    </row>
    <row r="13" spans="1:11" ht="18" x14ac:dyDescent="0.35">
      <c r="B13" s="60" t="s">
        <v>466</v>
      </c>
      <c r="C13" s="7">
        <f>SUM(C6:C12)</f>
        <v>18216533.399999999</v>
      </c>
      <c r="D13" s="10">
        <f>D12</f>
        <v>1495081.41</v>
      </c>
      <c r="K13" s="79"/>
    </row>
    <row r="14" spans="1:11" ht="15.6" x14ac:dyDescent="0.3">
      <c r="K14" s="78"/>
    </row>
    <row r="15" spans="1:11" ht="18" x14ac:dyDescent="0.35">
      <c r="B15" s="60" t="s">
        <v>13</v>
      </c>
      <c r="C15" s="61">
        <f>C13+D13</f>
        <v>19711614.809999999</v>
      </c>
      <c r="D15" s="7"/>
      <c r="E15" s="7"/>
      <c r="K15" s="81"/>
    </row>
  </sheetData>
  <sheetProtection algorithmName="SHA-512" hashValue="7pvIGVBPvt28kO2kNVJWgNXrV4go5sQ6ZLbIVBys862VdcvDt/A+5kzH4q4PFwH2MalyXQLKivfJgR3bWvoybw==" saltValue="DKkwcQZgr/yaF102hzS6gw==" spinCount="100000" sheet="1" deleteColumns="0" deleteRows="0" sort="0" autoFilter="0" pivotTables="0"/>
  <mergeCells count="1">
    <mergeCell ref="A3:D3"/>
  </mergeCells>
  <pageMargins left="0.7" right="0.7" top="0.75" bottom="0.75" header="0.3" footer="0.3"/>
  <ignoredErrors>
    <ignoredError sqref="C13"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CE82-E2A4-46F5-AEAD-BC5DCE9A4521}">
  <sheetPr codeName="Sheet12"/>
  <dimension ref="A1:Q27"/>
  <sheetViews>
    <sheetView workbookViewId="0"/>
  </sheetViews>
  <sheetFormatPr defaultColWidth="9.109375" defaultRowHeight="18" x14ac:dyDescent="0.35"/>
  <cols>
    <col min="1" max="1" width="76" style="3" bestFit="1" customWidth="1"/>
    <col min="2" max="2" width="18.6640625" style="3" bestFit="1" customWidth="1"/>
    <col min="3" max="15" width="19.109375" style="3" bestFit="1" customWidth="1"/>
    <col min="16" max="16" width="18.44140625" style="3" bestFit="1" customWidth="1"/>
    <col min="17" max="17" width="21.109375" style="3" bestFit="1" customWidth="1"/>
    <col min="18" max="16384" width="9.109375" style="3"/>
  </cols>
  <sheetData>
    <row r="1" spans="1:17" ht="22.8" x14ac:dyDescent="0.4">
      <c r="A1" s="38" t="s">
        <v>374</v>
      </c>
    </row>
    <row r="2" spans="1:17" s="11" customFormat="1" ht="49.5" customHeight="1" x14ac:dyDescent="0.3">
      <c r="B2" s="11" t="s">
        <v>350</v>
      </c>
      <c r="C2" s="11" t="s">
        <v>311</v>
      </c>
      <c r="D2" s="11" t="s">
        <v>312</v>
      </c>
      <c r="E2" s="11" t="s">
        <v>313</v>
      </c>
      <c r="F2" s="11" t="s">
        <v>314</v>
      </c>
      <c r="G2" s="11" t="s">
        <v>315</v>
      </c>
      <c r="H2" s="11" t="s">
        <v>321</v>
      </c>
      <c r="I2" s="11" t="s">
        <v>322</v>
      </c>
      <c r="J2" s="11" t="s">
        <v>323</v>
      </c>
      <c r="K2" s="11" t="s">
        <v>324</v>
      </c>
      <c r="L2" s="11" t="s">
        <v>325</v>
      </c>
      <c r="M2" s="11" t="s">
        <v>326</v>
      </c>
      <c r="N2" s="11" t="s">
        <v>327</v>
      </c>
      <c r="O2" s="11" t="s">
        <v>328</v>
      </c>
      <c r="P2" s="17" t="s">
        <v>334</v>
      </c>
      <c r="Q2" s="11" t="s">
        <v>13</v>
      </c>
    </row>
    <row r="3" spans="1:17" x14ac:dyDescent="0.35">
      <c r="A3" s="11" t="s">
        <v>351</v>
      </c>
      <c r="B3" s="11"/>
      <c r="C3" s="3">
        <v>2024</v>
      </c>
      <c r="D3" s="3">
        <v>2024</v>
      </c>
      <c r="E3" s="3">
        <v>2025</v>
      </c>
      <c r="F3" s="3">
        <v>2026</v>
      </c>
      <c r="G3" s="3">
        <v>2027</v>
      </c>
      <c r="H3" s="3">
        <v>2028</v>
      </c>
      <c r="I3" s="3">
        <v>2029</v>
      </c>
      <c r="J3" s="3">
        <v>2030</v>
      </c>
      <c r="K3" s="3">
        <v>2031</v>
      </c>
      <c r="L3" s="3">
        <v>2032</v>
      </c>
      <c r="M3" s="3">
        <v>2033</v>
      </c>
      <c r="N3" s="3">
        <v>2034</v>
      </c>
      <c r="O3" s="3">
        <v>2035</v>
      </c>
    </row>
    <row r="4" spans="1:17" s="7" customFormat="1" ht="18" customHeight="1" x14ac:dyDescent="0.35">
      <c r="A4" s="7" t="s">
        <v>375</v>
      </c>
      <c r="C4" s="7">
        <v>226579162.38999999</v>
      </c>
      <c r="D4" s="7">
        <v>108757997.98</v>
      </c>
      <c r="E4" s="7">
        <v>108757997.98</v>
      </c>
      <c r="F4" s="7">
        <v>88139294.180000007</v>
      </c>
      <c r="G4" s="7">
        <v>88139294.180000007</v>
      </c>
      <c r="H4" s="7">
        <v>88139294.170000002</v>
      </c>
      <c r="I4" s="7">
        <v>88139294.159999996</v>
      </c>
      <c r="J4" s="7">
        <v>88139294.159999996</v>
      </c>
      <c r="K4" s="7">
        <v>88139294.159999996</v>
      </c>
      <c r="L4" s="7">
        <v>88139294.159999996</v>
      </c>
      <c r="M4" s="7">
        <v>88139294.159999996</v>
      </c>
      <c r="N4" s="7">
        <v>88139294.159999996</v>
      </c>
      <c r="O4" s="7">
        <v>88139294.159999996</v>
      </c>
      <c r="Q4" s="7">
        <f>SUM(C4:O4)</f>
        <v>1325488100</v>
      </c>
    </row>
    <row r="5" spans="1:17" s="7" customFormat="1" ht="18" customHeight="1" x14ac:dyDescent="0.35">
      <c r="A5" s="7" t="s">
        <v>376</v>
      </c>
      <c r="C5" s="7">
        <v>0</v>
      </c>
      <c r="D5" s="7">
        <v>117821164.41</v>
      </c>
      <c r="E5" s="7">
        <v>117821164.41</v>
      </c>
      <c r="F5" s="7">
        <v>117821164.41</v>
      </c>
      <c r="G5" s="7">
        <v>117821164.41</v>
      </c>
      <c r="H5" s="7">
        <v>117821164.42</v>
      </c>
      <c r="I5" s="7">
        <v>117821164.42</v>
      </c>
      <c r="J5" s="7">
        <v>117821164.42</v>
      </c>
      <c r="K5" s="7">
        <v>117821164.42</v>
      </c>
      <c r="L5" s="7">
        <v>117821164.42</v>
      </c>
      <c r="M5" s="7">
        <v>117821164.42</v>
      </c>
      <c r="N5" s="7">
        <v>117821164.42</v>
      </c>
      <c r="O5" s="7">
        <v>117821164.42</v>
      </c>
      <c r="Q5" s="7">
        <f>SUM(C5:O5)</f>
        <v>1413853973</v>
      </c>
    </row>
    <row r="6" spans="1:17" s="7" customFormat="1" ht="18" customHeight="1" x14ac:dyDescent="0.35">
      <c r="A6" s="7" t="s">
        <v>377</v>
      </c>
      <c r="C6" s="7">
        <v>0</v>
      </c>
      <c r="D6" s="7">
        <v>0</v>
      </c>
      <c r="E6" s="7">
        <v>0</v>
      </c>
      <c r="F6" s="7">
        <v>20618703.800000001</v>
      </c>
      <c r="G6" s="7">
        <v>20618703.800000001</v>
      </c>
      <c r="H6" s="7">
        <v>20618703.800000001</v>
      </c>
      <c r="I6" s="7">
        <v>20618703.800000001</v>
      </c>
      <c r="J6" s="7">
        <v>20618703.800000001</v>
      </c>
      <c r="K6" s="7">
        <v>20618703.800000001</v>
      </c>
      <c r="L6" s="7">
        <v>20618703.800000001</v>
      </c>
      <c r="M6" s="7">
        <v>20618703.800000001</v>
      </c>
      <c r="N6" s="7">
        <v>20618703.800000001</v>
      </c>
      <c r="O6" s="7">
        <v>20618703.800000001</v>
      </c>
      <c r="Q6" s="7">
        <f>SUM(C6:O6)</f>
        <v>206187038.00000003</v>
      </c>
    </row>
    <row r="7" spans="1:17" s="7" customFormat="1" ht="18" customHeight="1" x14ac:dyDescent="0.35">
      <c r="A7" s="7" t="s">
        <v>378</v>
      </c>
      <c r="C7" s="7">
        <f>SUM(C4:C6)</f>
        <v>226579162.38999999</v>
      </c>
      <c r="D7" s="7">
        <f t="shared" ref="D7:M7" si="0">SUM(D4:D6)</f>
        <v>226579162.38999999</v>
      </c>
      <c r="E7" s="7">
        <f t="shared" si="0"/>
        <v>226579162.38999999</v>
      </c>
      <c r="F7" s="7">
        <f t="shared" si="0"/>
        <v>226579162.39000002</v>
      </c>
      <c r="G7" s="7">
        <f t="shared" si="0"/>
        <v>226579162.39000002</v>
      </c>
      <c r="H7" s="7">
        <f t="shared" si="0"/>
        <v>226579162.39000002</v>
      </c>
      <c r="I7" s="7">
        <f t="shared" si="0"/>
        <v>226579162.38</v>
      </c>
      <c r="J7" s="7">
        <f t="shared" si="0"/>
        <v>226579162.38</v>
      </c>
      <c r="K7" s="7">
        <f t="shared" si="0"/>
        <v>226579162.38</v>
      </c>
      <c r="L7" s="7">
        <f t="shared" si="0"/>
        <v>226579162.38</v>
      </c>
      <c r="M7" s="7">
        <f t="shared" si="0"/>
        <v>226579162.38</v>
      </c>
      <c r="N7" s="7">
        <f>SUM(N4:N6)</f>
        <v>226579162.38</v>
      </c>
      <c r="O7" s="7">
        <f>SUM(O3:O6)</f>
        <v>226581197.38</v>
      </c>
      <c r="Q7" s="7">
        <f>SUM(Q4:Q6)</f>
        <v>2945529111</v>
      </c>
    </row>
    <row r="8" spans="1:17" ht="18" customHeight="1" x14ac:dyDescent="0.35"/>
    <row r="9" spans="1:17" ht="18" customHeight="1" x14ac:dyDescent="0.35"/>
    <row r="10" spans="1:17" x14ac:dyDescent="0.35">
      <c r="A10" s="11" t="s">
        <v>379</v>
      </c>
      <c r="B10" s="35">
        <v>4.1353271673E-2</v>
      </c>
      <c r="C10" s="7">
        <f t="shared" ref="C10:O10" si="1">$B$10*C7</f>
        <v>9369789.6577544529</v>
      </c>
      <c r="D10" s="7">
        <f t="shared" si="1"/>
        <v>9369789.6577544529</v>
      </c>
      <c r="E10" s="7">
        <f t="shared" si="1"/>
        <v>9369789.6577544529</v>
      </c>
      <c r="F10" s="7">
        <f t="shared" si="1"/>
        <v>9369789.6577544548</v>
      </c>
      <c r="G10" s="7">
        <f t="shared" si="1"/>
        <v>9369789.6577544548</v>
      </c>
      <c r="H10" s="7">
        <f t="shared" si="1"/>
        <v>9369789.6577544548</v>
      </c>
      <c r="I10" s="7">
        <f t="shared" si="1"/>
        <v>9369789.6573409215</v>
      </c>
      <c r="J10" s="7">
        <f t="shared" si="1"/>
        <v>9369789.6573409215</v>
      </c>
      <c r="K10" s="7">
        <f t="shared" si="1"/>
        <v>9369789.6573409215</v>
      </c>
      <c r="L10" s="7">
        <f t="shared" si="1"/>
        <v>9369789.6573409215</v>
      </c>
      <c r="M10" s="7">
        <f t="shared" si="1"/>
        <v>9369789.6573409215</v>
      </c>
      <c r="N10" s="7">
        <f t="shared" si="1"/>
        <v>9369789.6573409215</v>
      </c>
      <c r="O10" s="7">
        <f t="shared" si="1"/>
        <v>9369873.8112487756</v>
      </c>
      <c r="P10" s="7"/>
      <c r="Q10" s="7">
        <f>SUM(B10:O10)</f>
        <v>121807349.74317428</v>
      </c>
    </row>
    <row r="11" spans="1:17" x14ac:dyDescent="0.35">
      <c r="A11" s="11" t="s">
        <v>443</v>
      </c>
      <c r="B11" s="35"/>
      <c r="C11" s="51">
        <v>6985.63</v>
      </c>
      <c r="D11" s="7"/>
      <c r="E11" s="7"/>
      <c r="F11" s="7"/>
      <c r="G11" s="7"/>
      <c r="H11" s="7"/>
      <c r="I11" s="7"/>
      <c r="J11" s="7"/>
      <c r="K11" s="7"/>
      <c r="L11" s="7"/>
      <c r="M11" s="7"/>
      <c r="N11" s="7"/>
      <c r="O11" s="7"/>
      <c r="P11" s="7"/>
      <c r="Q11" s="7"/>
    </row>
    <row r="12" spans="1:17" x14ac:dyDescent="0.35">
      <c r="A12" s="11" t="s">
        <v>444</v>
      </c>
      <c r="B12" s="35"/>
      <c r="C12" s="7">
        <v>106591.32</v>
      </c>
      <c r="D12" s="7"/>
      <c r="E12" s="7"/>
      <c r="F12" s="7"/>
      <c r="G12" s="7"/>
      <c r="H12" s="7"/>
      <c r="I12" s="7"/>
      <c r="J12" s="7"/>
      <c r="K12" s="7"/>
      <c r="L12" s="7"/>
      <c r="M12" s="7"/>
      <c r="N12" s="7"/>
      <c r="O12" s="7"/>
      <c r="P12" s="7"/>
      <c r="Q12" s="7"/>
    </row>
    <row r="13" spans="1:17" x14ac:dyDescent="0.35">
      <c r="A13" s="11" t="s">
        <v>13</v>
      </c>
      <c r="B13" s="35"/>
      <c r="C13" s="7">
        <f>C10-C11+C12</f>
        <v>9469395.3477544524</v>
      </c>
      <c r="D13" s="7"/>
      <c r="E13" s="7"/>
      <c r="F13" s="7"/>
      <c r="G13" s="7"/>
      <c r="H13" s="7"/>
      <c r="I13" s="7"/>
      <c r="J13" s="7"/>
      <c r="K13" s="7"/>
      <c r="L13" s="7"/>
      <c r="M13" s="7"/>
      <c r="N13" s="7"/>
      <c r="O13" s="7"/>
      <c r="P13" s="7"/>
      <c r="Q13" s="7"/>
    </row>
    <row r="15" spans="1:17" x14ac:dyDescent="0.35">
      <c r="A15" s="3" t="s">
        <v>371</v>
      </c>
      <c r="B15" s="36">
        <v>0.5</v>
      </c>
      <c r="C15" s="7">
        <v>4734697.7380410284</v>
      </c>
      <c r="D15" s="7">
        <f t="shared" ref="D15:O15" si="2">$B$15*D10</f>
        <v>4684894.8288772264</v>
      </c>
      <c r="E15" s="7">
        <f t="shared" si="2"/>
        <v>4684894.8288772264</v>
      </c>
      <c r="F15" s="7">
        <f t="shared" si="2"/>
        <v>4684894.8288772274</v>
      </c>
      <c r="G15" s="7">
        <f t="shared" si="2"/>
        <v>4684894.8288772274</v>
      </c>
      <c r="H15" s="7">
        <f t="shared" si="2"/>
        <v>4684894.8288772274</v>
      </c>
      <c r="I15" s="7">
        <f t="shared" si="2"/>
        <v>4684894.8286704607</v>
      </c>
      <c r="J15" s="7">
        <f t="shared" si="2"/>
        <v>4684894.8286704607</v>
      </c>
      <c r="K15" s="7">
        <f t="shared" si="2"/>
        <v>4684894.8286704607</v>
      </c>
      <c r="L15" s="7">
        <f t="shared" si="2"/>
        <v>4684894.8286704607</v>
      </c>
      <c r="M15" s="7">
        <f t="shared" si="2"/>
        <v>4684894.8286704607</v>
      </c>
      <c r="N15" s="7">
        <f t="shared" si="2"/>
        <v>4684894.8286704607</v>
      </c>
      <c r="O15" s="7">
        <f t="shared" si="2"/>
        <v>4684936.9056243878</v>
      </c>
      <c r="P15" s="7"/>
      <c r="Q15" s="7">
        <f>SUM(B15:O15)</f>
        <v>60953478.260074303</v>
      </c>
    </row>
    <row r="16" spans="1:17" x14ac:dyDescent="0.35">
      <c r="A16" s="3" t="s">
        <v>373</v>
      </c>
      <c r="B16" s="36"/>
      <c r="C16" s="51">
        <v>75349.118041028807</v>
      </c>
      <c r="D16" s="7">
        <v>5005.9220848846462</v>
      </c>
      <c r="E16" s="7">
        <v>5005.9220848846462</v>
      </c>
      <c r="F16" s="7">
        <v>5005.9220848846462</v>
      </c>
      <c r="G16" s="7">
        <v>5005.9220848846462</v>
      </c>
      <c r="H16" s="7">
        <v>5005.9220848846462</v>
      </c>
      <c r="I16" s="7">
        <v>5005.9220848846462</v>
      </c>
      <c r="J16" s="7">
        <v>5005.9220848846462</v>
      </c>
      <c r="K16" s="7">
        <v>5005.9220848846462</v>
      </c>
      <c r="L16" s="7">
        <v>5005.9220848846462</v>
      </c>
      <c r="M16" s="7">
        <v>5005.9220848846462</v>
      </c>
      <c r="N16" s="7">
        <v>5005.9220848846462</v>
      </c>
      <c r="O16" s="7">
        <v>5005.9220848846462</v>
      </c>
      <c r="P16" s="7"/>
      <c r="Q16" s="7"/>
    </row>
    <row r="17" spans="1:17" x14ac:dyDescent="0.35">
      <c r="A17" s="3" t="s">
        <v>359</v>
      </c>
      <c r="B17" s="36"/>
      <c r="C17" s="7">
        <f>C15-C16</f>
        <v>4659348.6199999992</v>
      </c>
      <c r="D17" s="7">
        <f t="shared" ref="D17:O17" si="3">D15+D16</f>
        <v>4689900.7509621112</v>
      </c>
      <c r="E17" s="7">
        <f t="shared" si="3"/>
        <v>4689900.7509621112</v>
      </c>
      <c r="F17" s="7">
        <f t="shared" si="3"/>
        <v>4689900.7509621121</v>
      </c>
      <c r="G17" s="7">
        <f t="shared" si="3"/>
        <v>4689900.7509621121</v>
      </c>
      <c r="H17" s="7">
        <f t="shared" si="3"/>
        <v>4689900.7509621121</v>
      </c>
      <c r="I17" s="7">
        <f t="shared" si="3"/>
        <v>4689900.7507553454</v>
      </c>
      <c r="J17" s="7">
        <f t="shared" si="3"/>
        <v>4689900.7507553454</v>
      </c>
      <c r="K17" s="7">
        <f t="shared" si="3"/>
        <v>4689900.7507553454</v>
      </c>
      <c r="L17" s="7">
        <f t="shared" si="3"/>
        <v>4689900.7507553454</v>
      </c>
      <c r="M17" s="7">
        <f t="shared" si="3"/>
        <v>4689900.7507553454</v>
      </c>
      <c r="N17" s="7">
        <f t="shared" si="3"/>
        <v>4689900.7507553454</v>
      </c>
      <c r="O17" s="7">
        <f t="shared" si="3"/>
        <v>4689942.8277092725</v>
      </c>
      <c r="P17" s="7"/>
      <c r="Q17" s="7">
        <f>SUM(B17:O17)</f>
        <v>60938199.70705191</v>
      </c>
    </row>
    <row r="18" spans="1:17" x14ac:dyDescent="0.35">
      <c r="B18" s="36"/>
      <c r="C18" s="7"/>
      <c r="D18" s="7"/>
      <c r="E18" s="7"/>
      <c r="F18" s="7"/>
      <c r="G18" s="7"/>
      <c r="H18" s="7"/>
      <c r="I18" s="7"/>
      <c r="J18" s="7"/>
      <c r="K18" s="7"/>
      <c r="L18" s="7"/>
      <c r="M18" s="7"/>
      <c r="N18" s="7"/>
      <c r="O18" s="7"/>
      <c r="P18" s="7"/>
      <c r="Q18" s="7"/>
    </row>
    <row r="19" spans="1:17" x14ac:dyDescent="0.35">
      <c r="B19" s="36"/>
      <c r="C19" s="7"/>
      <c r="D19" s="7"/>
      <c r="E19" s="7"/>
      <c r="F19" s="7"/>
      <c r="G19" s="7"/>
      <c r="H19" s="7"/>
      <c r="I19" s="7"/>
      <c r="J19" s="7"/>
      <c r="K19" s="7"/>
      <c r="L19" s="7"/>
      <c r="M19" s="7"/>
      <c r="N19" s="7"/>
      <c r="O19" s="7"/>
      <c r="P19" s="7"/>
      <c r="Q19" s="7"/>
    </row>
    <row r="20" spans="1:17" x14ac:dyDescent="0.35">
      <c r="B20" s="36"/>
      <c r="C20" s="7"/>
      <c r="D20" s="7"/>
      <c r="E20" s="7"/>
      <c r="F20" s="7"/>
      <c r="G20" s="7"/>
      <c r="H20" s="7"/>
      <c r="I20" s="7"/>
      <c r="J20" s="7"/>
      <c r="K20" s="7"/>
      <c r="L20" s="7"/>
      <c r="M20" s="7"/>
      <c r="N20" s="7"/>
      <c r="O20" s="7"/>
      <c r="P20" s="7"/>
      <c r="Q20" s="7"/>
    </row>
    <row r="21" spans="1:17" x14ac:dyDescent="0.35">
      <c r="A21" s="3" t="s">
        <v>380</v>
      </c>
      <c r="B21" s="36">
        <v>0.5</v>
      </c>
      <c r="C21" s="7">
        <v>4734697.6119589694</v>
      </c>
      <c r="D21" s="7">
        <f t="shared" ref="D21:O21" si="4">D10*0.5</f>
        <v>4684894.8288772264</v>
      </c>
      <c r="E21" s="7">
        <f t="shared" si="4"/>
        <v>4684894.8288772264</v>
      </c>
      <c r="F21" s="7">
        <f t="shared" si="4"/>
        <v>4684894.8288772274</v>
      </c>
      <c r="G21" s="7">
        <f t="shared" si="4"/>
        <v>4684894.8288772274</v>
      </c>
      <c r="H21" s="7">
        <f t="shared" si="4"/>
        <v>4684894.8288772274</v>
      </c>
      <c r="I21" s="7">
        <f t="shared" si="4"/>
        <v>4684894.8286704607</v>
      </c>
      <c r="J21" s="7">
        <f t="shared" si="4"/>
        <v>4684894.8286704607</v>
      </c>
      <c r="K21" s="7">
        <f t="shared" si="4"/>
        <v>4684894.8286704607</v>
      </c>
      <c r="L21" s="7">
        <f t="shared" si="4"/>
        <v>4684894.8286704607</v>
      </c>
      <c r="M21" s="7">
        <f t="shared" si="4"/>
        <v>4684894.8286704607</v>
      </c>
      <c r="N21" s="7">
        <f t="shared" si="4"/>
        <v>4684894.8286704607</v>
      </c>
      <c r="O21" s="7">
        <f t="shared" si="4"/>
        <v>4684936.9056243878</v>
      </c>
      <c r="P21" s="7"/>
      <c r="Q21" s="7">
        <f>SUM(B21:O21)</f>
        <v>60953478.13399224</v>
      </c>
    </row>
    <row r="22" spans="1:17" x14ac:dyDescent="0.35">
      <c r="A22" s="37" t="s">
        <v>361</v>
      </c>
      <c r="B22" s="36">
        <v>3.0000000000000001E-3</v>
      </c>
      <c r="C22" s="51">
        <f>B22*C21</f>
        <v>14204.092835876909</v>
      </c>
      <c r="D22" s="51">
        <f t="shared" ref="D22:O22" si="5">D21*0.003</f>
        <v>14054.684486631679</v>
      </c>
      <c r="E22" s="51">
        <f t="shared" si="5"/>
        <v>14054.684486631679</v>
      </c>
      <c r="F22" s="51">
        <f t="shared" si="5"/>
        <v>14054.684486631682</v>
      </c>
      <c r="G22" s="51">
        <f t="shared" si="5"/>
        <v>14054.684486631682</v>
      </c>
      <c r="H22" s="51">
        <f t="shared" si="5"/>
        <v>14054.684486631682</v>
      </c>
      <c r="I22" s="51">
        <f t="shared" si="5"/>
        <v>14054.684486011383</v>
      </c>
      <c r="J22" s="51">
        <f t="shared" si="5"/>
        <v>14054.684486011383</v>
      </c>
      <c r="K22" s="51">
        <f t="shared" si="5"/>
        <v>14054.684486011383</v>
      </c>
      <c r="L22" s="51">
        <f t="shared" si="5"/>
        <v>14054.684486011383</v>
      </c>
      <c r="M22" s="51">
        <f t="shared" si="5"/>
        <v>14054.684486011383</v>
      </c>
      <c r="N22" s="51">
        <f t="shared" si="5"/>
        <v>14054.684486011383</v>
      </c>
      <c r="O22" s="51">
        <f t="shared" si="5"/>
        <v>14054.810716873164</v>
      </c>
      <c r="P22" s="34"/>
      <c r="Q22" s="51">
        <f>SUM(B22:O22)</f>
        <v>182860.43590197677</v>
      </c>
    </row>
    <row r="23" spans="1:17" x14ac:dyDescent="0.35">
      <c r="A23" s="37" t="s">
        <v>362</v>
      </c>
      <c r="B23" s="36">
        <v>0.05</v>
      </c>
      <c r="C23" s="51">
        <v>236734.89</v>
      </c>
      <c r="D23" s="51">
        <f t="shared" ref="D23:O23" si="6">$B$23*D21</f>
        <v>234244.74144386133</v>
      </c>
      <c r="E23" s="51">
        <f t="shared" si="6"/>
        <v>234244.74144386133</v>
      </c>
      <c r="F23" s="51">
        <f t="shared" si="6"/>
        <v>234244.74144386139</v>
      </c>
      <c r="G23" s="51">
        <f t="shared" si="6"/>
        <v>234244.74144386139</v>
      </c>
      <c r="H23" s="51">
        <f t="shared" si="6"/>
        <v>234244.74144386139</v>
      </c>
      <c r="I23" s="51">
        <f t="shared" si="6"/>
        <v>234244.74143352304</v>
      </c>
      <c r="J23" s="51">
        <f t="shared" si="6"/>
        <v>234244.74143352304</v>
      </c>
      <c r="K23" s="51">
        <f t="shared" si="6"/>
        <v>234244.74143352304</v>
      </c>
      <c r="L23" s="51">
        <f t="shared" si="6"/>
        <v>234244.74143352304</v>
      </c>
      <c r="M23" s="51">
        <f t="shared" si="6"/>
        <v>234244.74143352304</v>
      </c>
      <c r="N23" s="51">
        <f t="shared" si="6"/>
        <v>234244.74143352304</v>
      </c>
      <c r="O23" s="51">
        <f t="shared" si="6"/>
        <v>234246.8452812194</v>
      </c>
      <c r="P23" s="34"/>
      <c r="Q23" s="51">
        <f>SUM(B23:O23)</f>
        <v>3047673.9411016651</v>
      </c>
    </row>
    <row r="24" spans="1:17" x14ac:dyDescent="0.35">
      <c r="A24" s="37" t="s">
        <v>363</v>
      </c>
      <c r="B24" s="36">
        <v>0.15</v>
      </c>
      <c r="C24" s="51">
        <v>1139196.5</v>
      </c>
      <c r="D24" s="51">
        <f t="shared" ref="D24:O24" si="7">$B$24*D21</f>
        <v>702734.22433158394</v>
      </c>
      <c r="E24" s="51">
        <f t="shared" si="7"/>
        <v>702734.22433158394</v>
      </c>
      <c r="F24" s="51">
        <f t="shared" si="7"/>
        <v>702734.22433158406</v>
      </c>
      <c r="G24" s="51">
        <f t="shared" si="7"/>
        <v>702734.22433158406</v>
      </c>
      <c r="H24" s="51">
        <f t="shared" si="7"/>
        <v>702734.22433158406</v>
      </c>
      <c r="I24" s="51">
        <f t="shared" si="7"/>
        <v>702734.22430056904</v>
      </c>
      <c r="J24" s="51">
        <f t="shared" si="7"/>
        <v>702734.22430056904</v>
      </c>
      <c r="K24" s="51">
        <f t="shared" si="7"/>
        <v>702734.22430056904</v>
      </c>
      <c r="L24" s="51">
        <f t="shared" si="7"/>
        <v>702734.22430056904</v>
      </c>
      <c r="M24" s="51">
        <f t="shared" si="7"/>
        <v>702734.22430056904</v>
      </c>
      <c r="N24" s="51">
        <f t="shared" si="7"/>
        <v>702734.22430056904</v>
      </c>
      <c r="O24" s="51">
        <f t="shared" si="7"/>
        <v>702740.53584365814</v>
      </c>
      <c r="P24" s="34"/>
      <c r="Q24" s="51">
        <f>SUM(C24:O24)</f>
        <v>9572013.50330499</v>
      </c>
    </row>
    <row r="25" spans="1:17" x14ac:dyDescent="0.35">
      <c r="A25" s="37" t="s">
        <v>364</v>
      </c>
      <c r="B25" s="36"/>
      <c r="C25" s="40">
        <v>75349.118041028836</v>
      </c>
      <c r="D25" s="51">
        <v>5005.9220848846462</v>
      </c>
      <c r="E25" s="51">
        <v>5005.9220848846462</v>
      </c>
      <c r="F25" s="51">
        <v>5005.9220848846462</v>
      </c>
      <c r="G25" s="51">
        <v>5005.9220848846462</v>
      </c>
      <c r="H25" s="51">
        <v>5005.9220848846462</v>
      </c>
      <c r="I25" s="51">
        <v>5005.9220848846462</v>
      </c>
      <c r="J25" s="51">
        <v>5005.9220848846462</v>
      </c>
      <c r="K25" s="51">
        <v>5005.9220848846462</v>
      </c>
      <c r="L25" s="51">
        <v>5005.9220848846462</v>
      </c>
      <c r="M25" s="51">
        <v>5005.9220848846462</v>
      </c>
      <c r="N25" s="51">
        <v>5005.9220848846462</v>
      </c>
      <c r="O25" s="51">
        <v>5005.9220848846462</v>
      </c>
      <c r="P25" s="34"/>
      <c r="Q25" s="34"/>
    </row>
    <row r="26" spans="1:17" x14ac:dyDescent="0.35">
      <c r="A26" s="3" t="s">
        <v>381</v>
      </c>
      <c r="C26" s="7">
        <f>(C21)-(C22+C23+C24)</f>
        <v>3344562.1291230926</v>
      </c>
      <c r="D26" s="7">
        <f t="shared" ref="D26:O26" si="8">D21-(D22+D23+D24)</f>
        <v>3733861.1786151496</v>
      </c>
      <c r="E26" s="7">
        <f t="shared" si="8"/>
        <v>3733861.1786151496</v>
      </c>
      <c r="F26" s="7">
        <f t="shared" si="8"/>
        <v>3733861.17861515</v>
      </c>
      <c r="G26" s="7">
        <f t="shared" si="8"/>
        <v>3733861.17861515</v>
      </c>
      <c r="H26" s="7">
        <f t="shared" si="8"/>
        <v>3733861.17861515</v>
      </c>
      <c r="I26" s="7">
        <f t="shared" si="8"/>
        <v>3733861.1784503572</v>
      </c>
      <c r="J26" s="7">
        <f t="shared" si="8"/>
        <v>3733861.1784503572</v>
      </c>
      <c r="K26" s="7">
        <f t="shared" si="8"/>
        <v>3733861.1784503572</v>
      </c>
      <c r="L26" s="7">
        <f t="shared" si="8"/>
        <v>3733861.1784503572</v>
      </c>
      <c r="M26" s="7">
        <f t="shared" si="8"/>
        <v>3733861.1784503572</v>
      </c>
      <c r="N26" s="7">
        <f t="shared" si="8"/>
        <v>3733861.1784503572</v>
      </c>
      <c r="O26" s="7">
        <f t="shared" si="8"/>
        <v>3733894.7137826374</v>
      </c>
      <c r="P26" s="39" t="s">
        <v>346</v>
      </c>
      <c r="Q26" s="7">
        <f>SUM(C26:O26)</f>
        <v>48150929.80668363</v>
      </c>
    </row>
    <row r="27" spans="1:17" x14ac:dyDescent="0.35">
      <c r="A27" s="37"/>
      <c r="G27" s="7"/>
    </row>
  </sheetData>
  <sheetProtection sort="0" autoFilter="0" pivotTables="0"/>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7C519-3516-4270-92E8-4449290014F1}">
  <sheetPr codeName="Sheet15"/>
  <dimension ref="A1:H20"/>
  <sheetViews>
    <sheetView workbookViewId="0">
      <selection activeCell="F13" sqref="F13"/>
    </sheetView>
  </sheetViews>
  <sheetFormatPr defaultColWidth="9.109375" defaultRowHeight="18" x14ac:dyDescent="0.35"/>
  <cols>
    <col min="1" max="1" width="75.33203125" style="3" bestFit="1" customWidth="1"/>
    <col min="2" max="2" width="20" style="3" bestFit="1" customWidth="1"/>
    <col min="3" max="3" width="19.5546875" style="3" customWidth="1"/>
    <col min="4" max="4" width="21.5546875" style="3" customWidth="1"/>
    <col min="5" max="5" width="22.88671875" style="3" customWidth="1"/>
    <col min="6" max="6" width="23.109375" style="3" bestFit="1" customWidth="1"/>
    <col min="7" max="7" width="17.6640625" style="3" customWidth="1"/>
    <col min="8" max="8" width="24.5546875" style="3" bestFit="1" customWidth="1"/>
    <col min="9" max="11" width="9.109375" style="3"/>
    <col min="12" max="12" width="10" style="3" bestFit="1" customWidth="1"/>
    <col min="13" max="16384" width="9.109375" style="3"/>
  </cols>
  <sheetData>
    <row r="1" spans="1:8" ht="22.8" x14ac:dyDescent="0.4">
      <c r="A1" s="38" t="s">
        <v>392</v>
      </c>
    </row>
    <row r="2" spans="1:8" s="11" customFormat="1" ht="34.799999999999997" x14ac:dyDescent="0.3">
      <c r="B2" s="11" t="s">
        <v>350</v>
      </c>
      <c r="C2" s="11" t="s">
        <v>441</v>
      </c>
      <c r="D2" s="11" t="s">
        <v>442</v>
      </c>
      <c r="E2" s="17" t="s">
        <v>334</v>
      </c>
      <c r="F2" s="11" t="s">
        <v>13</v>
      </c>
    </row>
    <row r="3" spans="1:8" x14ac:dyDescent="0.35">
      <c r="A3" s="11" t="s">
        <v>351</v>
      </c>
      <c r="B3" s="11"/>
      <c r="C3" s="61"/>
      <c r="D3" s="61"/>
      <c r="E3" s="11"/>
      <c r="F3" s="23" t="s">
        <v>393</v>
      </c>
    </row>
    <row r="4" spans="1:8" s="7" customFormat="1" ht="18" customHeight="1" x14ac:dyDescent="0.35">
      <c r="A4" s="7" t="s">
        <v>394</v>
      </c>
      <c r="C4" s="7">
        <f>2393794118.64*0.38</f>
        <v>909641765.08319998</v>
      </c>
      <c r="D4" s="26">
        <v>0</v>
      </c>
      <c r="F4" s="7">
        <f>2393794118.64*0.38</f>
        <v>909641765.08319998</v>
      </c>
    </row>
    <row r="5" spans="1:8" s="7" customFormat="1" ht="18" customHeight="1" x14ac:dyDescent="0.35">
      <c r="A5" s="7" t="s">
        <v>395</v>
      </c>
      <c r="C5" s="26">
        <v>0</v>
      </c>
      <c r="D5" s="7">
        <f>2393794118.64*0.62</f>
        <v>1484152353.5567999</v>
      </c>
      <c r="F5" s="7">
        <f>2393794118.64*0.62</f>
        <v>1484152353.5567999</v>
      </c>
    </row>
    <row r="6" spans="1:8" s="7" customFormat="1" ht="18" customHeight="1" x14ac:dyDescent="0.35">
      <c r="A6" s="7" t="s">
        <v>396</v>
      </c>
      <c r="C6" s="26">
        <v>0</v>
      </c>
      <c r="D6" s="26">
        <v>0</v>
      </c>
      <c r="F6" s="7">
        <v>0</v>
      </c>
    </row>
    <row r="7" spans="1:8" s="7" customFormat="1" ht="18" customHeight="1" x14ac:dyDescent="0.35">
      <c r="A7" s="7" t="s">
        <v>397</v>
      </c>
      <c r="C7" s="26">
        <f>SUM(C4:C6)</f>
        <v>909641765.08319998</v>
      </c>
      <c r="D7" s="26">
        <f>SUM(D4:D6)</f>
        <v>1484152353.5567999</v>
      </c>
      <c r="F7" s="7">
        <f>SUM(F4:F6)</f>
        <v>2393794118.6399999</v>
      </c>
    </row>
    <row r="8" spans="1:8" ht="18" customHeight="1" x14ac:dyDescent="0.35">
      <c r="B8" s="7"/>
      <c r="C8" s="26"/>
      <c r="D8" s="26"/>
    </row>
    <row r="9" spans="1:8" ht="18" customHeight="1" x14ac:dyDescent="0.35">
      <c r="C9" s="26"/>
      <c r="D9" s="26"/>
    </row>
    <row r="10" spans="1:8" x14ac:dyDescent="0.35">
      <c r="A10" s="11" t="s">
        <v>379</v>
      </c>
      <c r="B10" s="35">
        <v>3.8115795225999997E-2</v>
      </c>
      <c r="C10" s="26">
        <v>34671719.246928446</v>
      </c>
      <c r="D10" s="26">
        <v>56569647.192356937</v>
      </c>
      <c r="E10" s="35"/>
      <c r="F10" s="7">
        <f>SUM(C10:E10)</f>
        <v>91241366.439285383</v>
      </c>
      <c r="G10" s="7"/>
      <c r="H10" s="7"/>
    </row>
    <row r="11" spans="1:8" x14ac:dyDescent="0.35">
      <c r="C11" s="26"/>
      <c r="D11" s="26"/>
    </row>
    <row r="12" spans="1:8" x14ac:dyDescent="0.35">
      <c r="A12" s="3" t="s">
        <v>371</v>
      </c>
      <c r="B12" s="36">
        <v>0.5</v>
      </c>
      <c r="C12" s="58">
        <v>17335859.609999999</v>
      </c>
      <c r="D12" s="58">
        <v>28284823.57000003</v>
      </c>
      <c r="E12" s="36"/>
      <c r="F12" s="7">
        <f>SUM(C12:E12)</f>
        <v>45620683.18000003</v>
      </c>
      <c r="G12" s="7"/>
      <c r="H12" s="7"/>
    </row>
    <row r="13" spans="1:8" x14ac:dyDescent="0.35">
      <c r="A13" s="3" t="s">
        <v>359</v>
      </c>
      <c r="B13" s="36"/>
      <c r="C13" s="58">
        <f>SUM(C12)</f>
        <v>17335859.609999999</v>
      </c>
      <c r="D13" s="58">
        <v>28284823.57000003</v>
      </c>
      <c r="E13" s="36"/>
      <c r="F13" s="7">
        <f>SUM(C13:E13)</f>
        <v>45620683.18000003</v>
      </c>
      <c r="G13" s="7"/>
      <c r="H13" s="7"/>
    </row>
    <row r="14" spans="1:8" x14ac:dyDescent="0.35">
      <c r="B14" s="36"/>
      <c r="C14" s="58"/>
      <c r="D14" s="58"/>
      <c r="E14" s="36"/>
      <c r="F14" s="7"/>
      <c r="G14" s="7"/>
      <c r="H14" s="7"/>
    </row>
    <row r="15" spans="1:8" x14ac:dyDescent="0.35">
      <c r="A15" s="3" t="s">
        <v>380</v>
      </c>
      <c r="B15" s="36">
        <v>0.5</v>
      </c>
      <c r="C15" s="58">
        <v>17335859.639999993</v>
      </c>
      <c r="D15" s="58">
        <v>28284823.620000005</v>
      </c>
      <c r="E15" s="36"/>
      <c r="F15" s="7">
        <f>SUM(C15:E15)</f>
        <v>45620683.259999998</v>
      </c>
      <c r="G15" s="7"/>
      <c r="H15" s="7"/>
    </row>
    <row r="16" spans="1:8" x14ac:dyDescent="0.35">
      <c r="A16" s="37" t="s">
        <v>361</v>
      </c>
      <c r="B16" s="36">
        <v>3.0000000000000001E-3</v>
      </c>
      <c r="C16" s="69">
        <v>52007.58</v>
      </c>
      <c r="D16" s="69">
        <v>84854.47</v>
      </c>
      <c r="E16" s="36"/>
      <c r="F16" s="7">
        <f t="shared" ref="F16:F19" si="0">SUM(C16:E16)</f>
        <v>136862.04999999999</v>
      </c>
      <c r="G16" s="7"/>
      <c r="H16" s="7"/>
    </row>
    <row r="17" spans="1:8" x14ac:dyDescent="0.35">
      <c r="A17" s="37" t="s">
        <v>362</v>
      </c>
      <c r="B17" s="36">
        <v>0.05</v>
      </c>
      <c r="C17" s="69">
        <v>866792.99</v>
      </c>
      <c r="D17" s="69">
        <v>1414241.18</v>
      </c>
      <c r="E17" s="36"/>
      <c r="F17" s="7">
        <f t="shared" si="0"/>
        <v>2281034.17</v>
      </c>
      <c r="G17" s="7"/>
      <c r="H17" s="7"/>
    </row>
    <row r="18" spans="1:8" x14ac:dyDescent="0.35">
      <c r="A18" s="37" t="s">
        <v>363</v>
      </c>
      <c r="B18" s="36">
        <v>0.15</v>
      </c>
      <c r="C18" s="69">
        <v>2121880.6800000002</v>
      </c>
      <c r="D18" s="69">
        <v>2121880.6800000002</v>
      </c>
      <c r="E18" s="36"/>
      <c r="F18" s="7">
        <f t="shared" si="0"/>
        <v>4243761.3600000003</v>
      </c>
      <c r="G18" s="7"/>
      <c r="H18" s="7"/>
    </row>
    <row r="19" spans="1:8" x14ac:dyDescent="0.35">
      <c r="A19" s="3" t="s">
        <v>381</v>
      </c>
      <c r="C19" s="26">
        <f>C15-(C16+C17+C18)</f>
        <v>14295178.389999993</v>
      </c>
      <c r="D19" s="26">
        <f>D15-(D16+D17+D18)</f>
        <v>24663847.290000007</v>
      </c>
      <c r="F19" s="7">
        <f t="shared" si="0"/>
        <v>38959025.68</v>
      </c>
      <c r="G19" s="7"/>
    </row>
    <row r="20" spans="1:8" x14ac:dyDescent="0.35">
      <c r="A20" s="37"/>
      <c r="C20" s="26"/>
      <c r="D20" s="26"/>
    </row>
  </sheetData>
  <sheetProtection algorithmName="SHA-512" hashValue="nboRLFwDTy2do1iOsQvRwhLVSm9KCnaptcobwyH9XP2uLj6e/ScWTWeKvsrDkuReHa0bv+by4z1/tcPflnWHtQ==" saltValue="9X9wL8di/2vY8JlirZaWEQ==" spinCount="100000" sheet="1" sort="0" autoFilter="0" pivotTables="0"/>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2F43-7EDA-4988-929F-931A448ECBCF}">
  <dimension ref="A1:U13"/>
  <sheetViews>
    <sheetView workbookViewId="0">
      <selection activeCell="A2" sqref="A2"/>
    </sheetView>
  </sheetViews>
  <sheetFormatPr defaultRowHeight="14.4" x14ac:dyDescent="0.3"/>
  <cols>
    <col min="2" max="2" width="48.88671875" customWidth="1"/>
    <col min="3" max="3" width="16.44140625" bestFit="1" customWidth="1"/>
    <col min="4" max="4" width="20.109375" customWidth="1"/>
    <col min="5" max="7" width="17.88671875" bestFit="1" customWidth="1"/>
    <col min="8" max="15" width="16.44140625" bestFit="1" customWidth="1"/>
    <col min="16" max="19" width="17.88671875" bestFit="1" customWidth="1"/>
    <col min="20" max="20" width="16.44140625" bestFit="1" customWidth="1"/>
    <col min="21" max="21" width="19.109375" bestFit="1" customWidth="1"/>
  </cols>
  <sheetData>
    <row r="1" spans="1:21" ht="22.8" x14ac:dyDescent="0.4">
      <c r="A1" s="38" t="s">
        <v>468</v>
      </c>
      <c r="B1" s="3"/>
      <c r="C1" s="3"/>
      <c r="D1" s="3"/>
      <c r="E1" s="3"/>
      <c r="F1" s="3"/>
      <c r="G1" s="3"/>
      <c r="H1" s="3"/>
      <c r="I1" s="3"/>
      <c r="J1" s="3"/>
      <c r="K1" s="3"/>
      <c r="L1" s="3"/>
      <c r="M1" s="3"/>
      <c r="N1" s="3"/>
      <c r="O1" s="3"/>
      <c r="P1" s="3"/>
      <c r="Q1" s="3"/>
      <c r="R1" s="3"/>
      <c r="S1" s="3"/>
      <c r="T1" s="3"/>
      <c r="U1" s="3"/>
    </row>
    <row r="2" spans="1:21" ht="18" x14ac:dyDescent="0.35">
      <c r="A2" s="3" t="s">
        <v>469</v>
      </c>
      <c r="B2" s="3"/>
      <c r="C2" s="3"/>
      <c r="D2" s="3"/>
      <c r="E2" s="3"/>
      <c r="F2" s="3"/>
      <c r="G2" s="3"/>
      <c r="H2" s="3"/>
      <c r="I2" s="3"/>
      <c r="J2" s="3"/>
      <c r="K2" s="3"/>
      <c r="L2" s="3"/>
      <c r="M2" s="3"/>
      <c r="N2" s="3"/>
      <c r="O2" s="3"/>
      <c r="P2" s="3"/>
      <c r="Q2" s="3"/>
      <c r="R2" s="3"/>
      <c r="S2" s="3"/>
      <c r="T2" s="3"/>
      <c r="U2" s="3"/>
    </row>
    <row r="3" spans="1:21" ht="18" x14ac:dyDescent="0.35">
      <c r="A3" s="3"/>
      <c r="B3" s="3"/>
      <c r="C3" s="3"/>
      <c r="D3" s="3"/>
      <c r="E3" s="3"/>
      <c r="F3" s="3"/>
      <c r="G3" s="3"/>
      <c r="H3" s="3"/>
      <c r="I3" s="3"/>
      <c r="J3" s="3"/>
      <c r="K3" s="3"/>
      <c r="L3" s="3"/>
      <c r="M3" s="3"/>
      <c r="N3" s="3"/>
      <c r="O3" s="3"/>
      <c r="P3" s="3"/>
      <c r="Q3" s="3"/>
      <c r="R3" s="3"/>
      <c r="S3" s="3"/>
      <c r="T3" s="3"/>
      <c r="U3" s="3"/>
    </row>
    <row r="4" spans="1:21" ht="22.8" x14ac:dyDescent="0.4">
      <c r="A4" s="38" t="s">
        <v>402</v>
      </c>
      <c r="B4" s="3"/>
      <c r="C4" s="11" t="s">
        <v>311</v>
      </c>
      <c r="D4" s="11" t="s">
        <v>312</v>
      </c>
      <c r="E4" s="11" t="s">
        <v>313</v>
      </c>
      <c r="F4" s="11" t="s">
        <v>314</v>
      </c>
      <c r="G4" s="11" t="s">
        <v>315</v>
      </c>
      <c r="H4" s="11" t="s">
        <v>321</v>
      </c>
      <c r="I4" s="11" t="s">
        <v>322</v>
      </c>
      <c r="J4" s="11" t="s">
        <v>323</v>
      </c>
      <c r="K4" s="11" t="s">
        <v>324</v>
      </c>
      <c r="L4" s="11" t="s">
        <v>325</v>
      </c>
      <c r="M4" s="11" t="s">
        <v>326</v>
      </c>
      <c r="N4" s="11" t="s">
        <v>327</v>
      </c>
      <c r="O4" s="11" t="s">
        <v>328</v>
      </c>
      <c r="P4" s="11" t="s">
        <v>329</v>
      </c>
      <c r="Q4" s="11" t="s">
        <v>330</v>
      </c>
      <c r="R4" s="11" t="s">
        <v>331</v>
      </c>
      <c r="S4" s="11" t="s">
        <v>332</v>
      </c>
      <c r="T4" s="11" t="s">
        <v>333</v>
      </c>
      <c r="U4" s="11" t="s">
        <v>13</v>
      </c>
    </row>
    <row r="5" spans="1:21" ht="18" x14ac:dyDescent="0.35">
      <c r="A5" s="15" t="s">
        <v>351</v>
      </c>
      <c r="B5" s="3"/>
      <c r="C5" s="3">
        <v>2023</v>
      </c>
      <c r="D5" s="3">
        <v>2024</v>
      </c>
      <c r="E5" s="3">
        <v>2025</v>
      </c>
      <c r="F5" s="3">
        <v>2026</v>
      </c>
      <c r="G5" s="3">
        <v>2027</v>
      </c>
      <c r="H5" s="3">
        <v>2028</v>
      </c>
      <c r="I5" s="3">
        <v>2029</v>
      </c>
      <c r="J5" s="3">
        <v>2030</v>
      </c>
      <c r="K5" s="3">
        <v>2031</v>
      </c>
      <c r="L5" s="3">
        <v>2032</v>
      </c>
      <c r="M5" s="3">
        <v>2033</v>
      </c>
      <c r="N5" s="3">
        <v>2034</v>
      </c>
      <c r="O5" s="3">
        <v>2035</v>
      </c>
      <c r="P5" s="3">
        <v>2036</v>
      </c>
      <c r="Q5" s="3">
        <v>2037</v>
      </c>
      <c r="R5" s="3">
        <v>2038</v>
      </c>
      <c r="S5" s="3">
        <v>2039</v>
      </c>
      <c r="T5" s="3">
        <v>2040</v>
      </c>
      <c r="U5" s="3"/>
    </row>
    <row r="6" spans="1:21" ht="18" x14ac:dyDescent="0.35">
      <c r="A6" s="15"/>
      <c r="B6" s="3"/>
      <c r="C6" s="3"/>
      <c r="D6" s="3"/>
      <c r="E6" s="3"/>
      <c r="F6" s="3"/>
      <c r="G6" s="3"/>
      <c r="H6" s="3"/>
      <c r="I6" s="3"/>
      <c r="J6" s="3"/>
      <c r="K6" s="3"/>
      <c r="L6" s="3"/>
      <c r="M6" s="3"/>
      <c r="N6" s="3"/>
      <c r="O6" s="3"/>
      <c r="P6" s="3"/>
      <c r="Q6" s="3"/>
      <c r="R6" s="3"/>
      <c r="S6" s="3"/>
      <c r="T6" s="3"/>
      <c r="U6" s="3"/>
    </row>
    <row r="7" spans="1:21" ht="18" x14ac:dyDescent="0.35">
      <c r="A7" s="7" t="s">
        <v>402</v>
      </c>
      <c r="B7" s="3"/>
      <c r="C7" s="7">
        <v>9000000</v>
      </c>
      <c r="D7" s="7">
        <v>10000000</v>
      </c>
      <c r="E7" s="7">
        <v>10000000</v>
      </c>
      <c r="F7" s="7">
        <v>10000000</v>
      </c>
      <c r="G7" s="7">
        <v>10000000</v>
      </c>
      <c r="H7" s="7">
        <v>5000000</v>
      </c>
      <c r="I7" s="7">
        <v>5000000</v>
      </c>
      <c r="J7" s="7">
        <v>5000000</v>
      </c>
      <c r="K7" s="7">
        <v>5000000</v>
      </c>
      <c r="L7" s="7">
        <v>5000000</v>
      </c>
      <c r="M7" s="7">
        <v>5000000</v>
      </c>
      <c r="N7" s="7">
        <v>5000000</v>
      </c>
      <c r="O7" s="7">
        <v>5000000</v>
      </c>
      <c r="P7" s="7">
        <v>10000000</v>
      </c>
      <c r="Q7" s="7">
        <v>10000000</v>
      </c>
      <c r="R7" s="7">
        <v>10000000</v>
      </c>
      <c r="S7" s="7">
        <v>10000000</v>
      </c>
      <c r="T7" s="7">
        <v>9000000</v>
      </c>
      <c r="U7" s="7">
        <f>SUM(C7:T7)</f>
        <v>138000000</v>
      </c>
    </row>
    <row r="8" spans="1:21" ht="18" x14ac:dyDescent="0.35">
      <c r="A8" s="3" t="s">
        <v>403</v>
      </c>
      <c r="B8" s="3"/>
      <c r="C8" s="51">
        <v>5396651.0700000003</v>
      </c>
      <c r="D8" s="71">
        <v>3525460.82</v>
      </c>
      <c r="E8" s="71">
        <v>3525460.82</v>
      </c>
      <c r="F8" s="3"/>
      <c r="G8" s="3"/>
      <c r="H8" s="3"/>
      <c r="I8" s="3"/>
      <c r="J8" s="3"/>
      <c r="K8" s="3"/>
      <c r="L8" s="3"/>
      <c r="M8" s="3"/>
      <c r="N8" s="3"/>
      <c r="O8" s="3"/>
      <c r="P8" s="3"/>
      <c r="Q8" s="3"/>
      <c r="R8" s="3"/>
      <c r="S8" s="3"/>
      <c r="T8" s="3"/>
      <c r="U8" s="51">
        <f>SUM(C8:E8)</f>
        <v>12447572.710000001</v>
      </c>
    </row>
    <row r="9" spans="1:21" ht="18" x14ac:dyDescent="0.35">
      <c r="A9" s="3" t="s">
        <v>472</v>
      </c>
      <c r="B9" s="3"/>
      <c r="C9" s="51">
        <v>3173872.18</v>
      </c>
      <c r="D9" s="53">
        <v>3181561.3</v>
      </c>
      <c r="E9" s="53">
        <v>3181561.3</v>
      </c>
      <c r="F9" s="3"/>
      <c r="G9" s="3"/>
      <c r="H9" s="3"/>
      <c r="I9" s="3"/>
      <c r="J9" s="3"/>
      <c r="K9" s="3"/>
      <c r="L9" s="3"/>
      <c r="M9" s="3"/>
      <c r="N9" s="3"/>
      <c r="O9" s="3"/>
      <c r="P9" s="3"/>
      <c r="Q9" s="3"/>
      <c r="R9" s="3"/>
      <c r="S9" s="3"/>
      <c r="T9" s="3"/>
      <c r="U9" s="51">
        <f>SUM(C9:E9)</f>
        <v>9536994.7800000012</v>
      </c>
    </row>
    <row r="10" spans="1:21" ht="18" x14ac:dyDescent="0.35">
      <c r="A10" s="3" t="s">
        <v>404</v>
      </c>
      <c r="B10" s="3"/>
      <c r="C10" s="7">
        <f>C7-(C8+C9)</f>
        <v>429476.75</v>
      </c>
      <c r="D10" s="7">
        <f>D7-(D8+D9)</f>
        <v>3292977.8800000008</v>
      </c>
      <c r="E10" s="7">
        <f>E7-(E8+E9)</f>
        <v>3292977.8800000008</v>
      </c>
      <c r="F10" s="7">
        <f>F7</f>
        <v>10000000</v>
      </c>
      <c r="G10" s="7">
        <f t="shared" ref="G10:T10" si="0">G7</f>
        <v>10000000</v>
      </c>
      <c r="H10" s="7">
        <f t="shared" si="0"/>
        <v>5000000</v>
      </c>
      <c r="I10" s="7">
        <f t="shared" si="0"/>
        <v>5000000</v>
      </c>
      <c r="J10" s="7">
        <f t="shared" si="0"/>
        <v>5000000</v>
      </c>
      <c r="K10" s="7">
        <f t="shared" si="0"/>
        <v>5000000</v>
      </c>
      <c r="L10" s="7">
        <f t="shared" si="0"/>
        <v>5000000</v>
      </c>
      <c r="M10" s="7">
        <f t="shared" si="0"/>
        <v>5000000</v>
      </c>
      <c r="N10" s="7">
        <f t="shared" si="0"/>
        <v>5000000</v>
      </c>
      <c r="O10" s="7">
        <f t="shared" si="0"/>
        <v>5000000</v>
      </c>
      <c r="P10" s="7">
        <f t="shared" si="0"/>
        <v>10000000</v>
      </c>
      <c r="Q10" s="7">
        <f t="shared" si="0"/>
        <v>10000000</v>
      </c>
      <c r="R10" s="7">
        <f t="shared" si="0"/>
        <v>10000000</v>
      </c>
      <c r="S10" s="7">
        <f t="shared" si="0"/>
        <v>10000000</v>
      </c>
      <c r="T10" s="7">
        <f t="shared" si="0"/>
        <v>9000000</v>
      </c>
      <c r="U10" s="7">
        <f>SUM(C10:T10)</f>
        <v>116015432.51000001</v>
      </c>
    </row>
    <row r="13" spans="1:21" ht="18" x14ac:dyDescent="0.35">
      <c r="A13" s="3" t="s">
        <v>473</v>
      </c>
    </row>
  </sheetData>
  <sheetProtection algorithmName="SHA-512" hashValue="1NW4OeCQkX+kbMY+nPYQullzfH1sq3TrLNu3ZQPdIcr49vm5o4l5wgqWnGTuC+uFSPtdIgMdxJiPf5ysx9sWQg==" saltValue="ucAWNMlyaVNzp4jGQQ2B6g==" spinCount="100000" sheet="1" sort="0" autoFilter="0" pivotTables="0"/>
  <phoneticPr fontId="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E279-7A56-42C7-9961-58096963B31E}">
  <sheetPr codeName="Sheet16"/>
  <dimension ref="A1:R23"/>
  <sheetViews>
    <sheetView workbookViewId="0">
      <selection activeCell="Q1" sqref="Q1"/>
    </sheetView>
  </sheetViews>
  <sheetFormatPr defaultColWidth="9.109375" defaultRowHeight="18" x14ac:dyDescent="0.35"/>
  <cols>
    <col min="1" max="1" width="78.44140625" style="3" bestFit="1" customWidth="1"/>
    <col min="2" max="2" width="18.6640625" style="3" bestFit="1" customWidth="1"/>
    <col min="3" max="3" width="20.5546875" style="3" customWidth="1"/>
    <col min="4" max="16" width="19.109375" style="3" bestFit="1" customWidth="1"/>
    <col min="17" max="17" width="21.109375" style="3" customWidth="1"/>
    <col min="18" max="18" width="21.109375" style="3" bestFit="1" customWidth="1"/>
    <col min="19" max="16384" width="9.109375" style="3"/>
  </cols>
  <sheetData>
    <row r="1" spans="1:18" ht="22.8" x14ac:dyDescent="0.4">
      <c r="A1" s="38" t="s">
        <v>470</v>
      </c>
    </row>
    <row r="2" spans="1:18" x14ac:dyDescent="0.35">
      <c r="A2" s="3" t="s">
        <v>471</v>
      </c>
    </row>
    <row r="3" spans="1:18" ht="22.8" x14ac:dyDescent="0.4">
      <c r="A3" s="38"/>
    </row>
    <row r="4" spans="1:18" s="11" customFormat="1" ht="17.399999999999999" x14ac:dyDescent="0.3">
      <c r="B4" s="11" t="s">
        <v>350</v>
      </c>
      <c r="C4" s="11" t="s">
        <v>311</v>
      </c>
      <c r="D4" s="11" t="s">
        <v>312</v>
      </c>
      <c r="E4" s="11" t="s">
        <v>313</v>
      </c>
      <c r="F4" s="11" t="s">
        <v>314</v>
      </c>
      <c r="G4" s="11" t="s">
        <v>315</v>
      </c>
      <c r="H4" s="11" t="s">
        <v>321</v>
      </c>
      <c r="I4" s="11" t="s">
        <v>322</v>
      </c>
      <c r="J4" s="11" t="s">
        <v>323</v>
      </c>
      <c r="K4" s="11" t="s">
        <v>324</v>
      </c>
      <c r="L4" s="11" t="s">
        <v>325</v>
      </c>
      <c r="M4" s="11" t="s">
        <v>326</v>
      </c>
      <c r="N4" s="11" t="s">
        <v>327</v>
      </c>
      <c r="O4" s="11" t="s">
        <v>328</v>
      </c>
      <c r="P4" s="11" t="s">
        <v>329</v>
      </c>
      <c r="Q4" s="11" t="s">
        <v>330</v>
      </c>
      <c r="R4" s="11" t="s">
        <v>13</v>
      </c>
    </row>
    <row r="5" spans="1:18" x14ac:dyDescent="0.35">
      <c r="A5" s="11" t="s">
        <v>351</v>
      </c>
      <c r="B5" s="11"/>
      <c r="C5" s="3">
        <v>2024</v>
      </c>
      <c r="D5" s="3">
        <v>2024</v>
      </c>
      <c r="E5" s="3">
        <v>2025</v>
      </c>
      <c r="F5" s="3">
        <v>2026</v>
      </c>
      <c r="G5" s="3">
        <v>2027</v>
      </c>
      <c r="H5" s="3">
        <v>2028</v>
      </c>
      <c r="I5" s="3">
        <v>2029</v>
      </c>
      <c r="J5" s="3">
        <v>2030</v>
      </c>
      <c r="K5" s="3">
        <v>2031</v>
      </c>
      <c r="L5" s="3">
        <v>2032</v>
      </c>
      <c r="M5" s="3">
        <v>2033</v>
      </c>
      <c r="N5" s="3">
        <v>2034</v>
      </c>
      <c r="O5" s="3">
        <v>2035</v>
      </c>
      <c r="P5" s="3">
        <v>2036</v>
      </c>
      <c r="Q5" s="3">
        <v>2036</v>
      </c>
    </row>
    <row r="6" spans="1:18" s="7" customFormat="1" ht="18" customHeight="1" x14ac:dyDescent="0.35">
      <c r="A6" s="7" t="s">
        <v>398</v>
      </c>
      <c r="C6" s="7">
        <v>369445784</v>
      </c>
      <c r="D6" s="7">
        <v>99982150</v>
      </c>
      <c r="E6" s="7">
        <v>99982150</v>
      </c>
      <c r="F6" s="7">
        <v>99982150</v>
      </c>
      <c r="G6" s="7">
        <v>99982150</v>
      </c>
      <c r="H6" s="7">
        <v>99982150</v>
      </c>
      <c r="I6" s="7">
        <v>99982150</v>
      </c>
      <c r="J6" s="7">
        <v>124226144</v>
      </c>
      <c r="K6" s="7">
        <v>124226144</v>
      </c>
      <c r="L6" s="7">
        <v>124226144</v>
      </c>
      <c r="M6" s="7">
        <v>124226144</v>
      </c>
      <c r="N6" s="7">
        <v>124226144</v>
      </c>
      <c r="O6" s="7">
        <v>124226144</v>
      </c>
      <c r="P6" s="7">
        <v>124226144</v>
      </c>
      <c r="Q6" s="7">
        <v>124226144</v>
      </c>
      <c r="R6" s="7">
        <f>SUM(C6:Q6)</f>
        <v>1963147836</v>
      </c>
    </row>
    <row r="7" spans="1:18" s="7" customFormat="1" ht="18" customHeight="1" x14ac:dyDescent="0.35">
      <c r="A7" s="7" t="s">
        <v>399</v>
      </c>
      <c r="C7" s="7">
        <v>0</v>
      </c>
      <c r="D7" s="7">
        <v>143876750</v>
      </c>
      <c r="E7" s="7">
        <v>143876750</v>
      </c>
      <c r="F7" s="7">
        <v>143876750</v>
      </c>
      <c r="G7" s="7">
        <v>143876750</v>
      </c>
      <c r="H7" s="7">
        <v>143876750</v>
      </c>
      <c r="I7" s="7">
        <v>143876750</v>
      </c>
      <c r="J7" s="7">
        <v>245219640</v>
      </c>
      <c r="K7" s="7">
        <v>245219640</v>
      </c>
      <c r="L7" s="7">
        <v>245219640</v>
      </c>
      <c r="M7" s="7">
        <v>245219640</v>
      </c>
      <c r="N7" s="7">
        <v>245219640</v>
      </c>
      <c r="O7" s="7">
        <v>245219640</v>
      </c>
      <c r="P7" s="7">
        <v>245219640</v>
      </c>
      <c r="Q7" s="7">
        <v>245219640</v>
      </c>
      <c r="R7" s="7">
        <f>SUM(C7:Q7)</f>
        <v>2825017620</v>
      </c>
    </row>
    <row r="8" spans="1:18" s="7" customFormat="1" ht="18" customHeight="1" x14ac:dyDescent="0.35">
      <c r="A8" s="7" t="s">
        <v>400</v>
      </c>
      <c r="C8" s="7">
        <v>0</v>
      </c>
      <c r="D8" s="7">
        <v>0</v>
      </c>
      <c r="E8" s="7">
        <v>0</v>
      </c>
      <c r="F8" s="7">
        <v>0</v>
      </c>
      <c r="G8" s="7">
        <v>0</v>
      </c>
      <c r="H8" s="7">
        <v>0</v>
      </c>
      <c r="I8" s="7">
        <v>0</v>
      </c>
      <c r="J8" s="7">
        <v>0</v>
      </c>
      <c r="K8" s="7">
        <v>0</v>
      </c>
      <c r="L8" s="7">
        <v>0</v>
      </c>
      <c r="M8" s="7">
        <v>0</v>
      </c>
      <c r="N8" s="7">
        <v>0</v>
      </c>
      <c r="O8" s="7">
        <v>0</v>
      </c>
      <c r="P8" s="7">
        <v>0</v>
      </c>
      <c r="Q8" s="7">
        <v>0</v>
      </c>
      <c r="R8" s="7">
        <f>SUM(C8:K8)</f>
        <v>0</v>
      </c>
    </row>
    <row r="9" spans="1:18" s="7" customFormat="1" ht="18" customHeight="1" x14ac:dyDescent="0.35">
      <c r="A9" s="7" t="s">
        <v>401</v>
      </c>
      <c r="C9" s="7">
        <f>SUM(C6:C8)</f>
        <v>369445784</v>
      </c>
      <c r="D9" s="7">
        <f t="shared" ref="D9:Q9" si="0">SUM(D6:D8)</f>
        <v>243858900</v>
      </c>
      <c r="E9" s="7">
        <f t="shared" si="0"/>
        <v>243858900</v>
      </c>
      <c r="F9" s="7">
        <f t="shared" si="0"/>
        <v>243858900</v>
      </c>
      <c r="G9" s="7">
        <f t="shared" si="0"/>
        <v>243858900</v>
      </c>
      <c r="H9" s="7">
        <f t="shared" si="0"/>
        <v>243858900</v>
      </c>
      <c r="I9" s="7">
        <f t="shared" si="0"/>
        <v>243858900</v>
      </c>
      <c r="J9" s="7">
        <f t="shared" si="0"/>
        <v>369445784</v>
      </c>
      <c r="K9" s="7">
        <f t="shared" si="0"/>
        <v>369445784</v>
      </c>
      <c r="L9" s="7">
        <f t="shared" si="0"/>
        <v>369445784</v>
      </c>
      <c r="M9" s="7">
        <f t="shared" si="0"/>
        <v>369445784</v>
      </c>
      <c r="N9" s="7">
        <f t="shared" si="0"/>
        <v>369445784</v>
      </c>
      <c r="O9" s="7">
        <f t="shared" si="0"/>
        <v>369445784</v>
      </c>
      <c r="P9" s="7">
        <f t="shared" si="0"/>
        <v>369445784</v>
      </c>
      <c r="Q9" s="7">
        <f t="shared" si="0"/>
        <v>369445784</v>
      </c>
      <c r="R9" s="7">
        <f>SUM(R6:R8)</f>
        <v>4788165456</v>
      </c>
    </row>
    <row r="10" spans="1:18" ht="18" customHeight="1" x14ac:dyDescent="0.35"/>
    <row r="11" spans="1:18" ht="18" customHeight="1" x14ac:dyDescent="0.35"/>
    <row r="12" spans="1:18" x14ac:dyDescent="0.35">
      <c r="A12" s="11" t="s">
        <v>379</v>
      </c>
      <c r="B12" s="35">
        <v>3.6591093547999998E-2</v>
      </c>
      <c r="C12" s="7">
        <f>$B$12*C9</f>
        <v>13518425.243258201</v>
      </c>
      <c r="D12" s="7">
        <v>8923063.8224123772</v>
      </c>
      <c r="E12" s="7">
        <f>$B$12*E9</f>
        <v>8923063.8224123772</v>
      </c>
      <c r="F12" s="7">
        <f t="shared" ref="F12:P12" si="1">$B$12*F9</f>
        <v>8923063.8224123772</v>
      </c>
      <c r="G12" s="7">
        <f t="shared" si="1"/>
        <v>8923063.8224123772</v>
      </c>
      <c r="H12" s="7">
        <f t="shared" si="1"/>
        <v>8923063.8224123772</v>
      </c>
      <c r="I12" s="7">
        <f t="shared" si="1"/>
        <v>8923063.8224123772</v>
      </c>
      <c r="J12" s="7">
        <f t="shared" si="1"/>
        <v>13518425.243258201</v>
      </c>
      <c r="K12" s="7">
        <f t="shared" si="1"/>
        <v>13518425.243258201</v>
      </c>
      <c r="L12" s="7">
        <f t="shared" si="1"/>
        <v>13518425.243258201</v>
      </c>
      <c r="M12" s="7">
        <f t="shared" si="1"/>
        <v>13518425.243258201</v>
      </c>
      <c r="N12" s="7">
        <f t="shared" si="1"/>
        <v>13518425.243258201</v>
      </c>
      <c r="O12" s="7">
        <f t="shared" si="1"/>
        <v>13518425.243258201</v>
      </c>
      <c r="P12" s="7">
        <f t="shared" si="1"/>
        <v>13518425.243258201</v>
      </c>
      <c r="Q12" s="7">
        <f>$B$12*Q9</f>
        <v>13518425.243258201</v>
      </c>
      <c r="R12" s="7">
        <f>SUM(C12:Q12)</f>
        <v>175204210.12379813</v>
      </c>
    </row>
    <row r="13" spans="1:18" x14ac:dyDescent="0.35">
      <c r="A13" s="3" t="s">
        <v>405</v>
      </c>
      <c r="B13" s="36">
        <v>0.5</v>
      </c>
      <c r="C13" s="7">
        <v>6759212.4920174517</v>
      </c>
      <c r="D13" s="7">
        <v>4461531.93</v>
      </c>
      <c r="E13" s="7">
        <f t="shared" ref="E13:Q13" si="2">$B$13*E12</f>
        <v>4461531.9112061886</v>
      </c>
      <c r="F13" s="7">
        <f t="shared" si="2"/>
        <v>4461531.9112061886</v>
      </c>
      <c r="G13" s="7">
        <f t="shared" si="2"/>
        <v>4461531.9112061886</v>
      </c>
      <c r="H13" s="7">
        <f t="shared" si="2"/>
        <v>4461531.9112061886</v>
      </c>
      <c r="I13" s="7">
        <f t="shared" si="2"/>
        <v>4461531.9112061886</v>
      </c>
      <c r="J13" s="7">
        <f t="shared" si="2"/>
        <v>6759212.6216291003</v>
      </c>
      <c r="K13" s="7">
        <f t="shared" si="2"/>
        <v>6759212.6216291003</v>
      </c>
      <c r="L13" s="7">
        <f t="shared" si="2"/>
        <v>6759212.6216291003</v>
      </c>
      <c r="M13" s="7">
        <f t="shared" si="2"/>
        <v>6759212.6216291003</v>
      </c>
      <c r="N13" s="7">
        <f t="shared" si="2"/>
        <v>6759212.6216291003</v>
      </c>
      <c r="O13" s="7">
        <f t="shared" si="2"/>
        <v>6759212.6216291003</v>
      </c>
      <c r="P13" s="7">
        <f t="shared" si="2"/>
        <v>6759212.6216291003</v>
      </c>
      <c r="Q13" s="7">
        <f t="shared" si="2"/>
        <v>6759212.6216291003</v>
      </c>
      <c r="R13" s="7">
        <f>SUM(C13:Q13)</f>
        <v>87602104.951081231</v>
      </c>
    </row>
    <row r="14" spans="1:18" x14ac:dyDescent="0.35">
      <c r="A14" s="3" t="s">
        <v>373</v>
      </c>
      <c r="B14" s="36"/>
      <c r="C14" s="51">
        <v>108118.35201746901</v>
      </c>
      <c r="D14" s="40">
        <v>4347.3677772043748</v>
      </c>
      <c r="E14" s="40">
        <v>4121.011227895774</v>
      </c>
      <c r="F14" s="40">
        <v>4121.011227895774</v>
      </c>
      <c r="G14" s="40">
        <v>4121.011227895774</v>
      </c>
      <c r="H14" s="40">
        <v>4121.011227895774</v>
      </c>
      <c r="I14" s="40">
        <v>6243.3244140884617</v>
      </c>
      <c r="J14" s="40">
        <v>6243.3244140884617</v>
      </c>
      <c r="K14" s="40">
        <v>6243.3244140884617</v>
      </c>
      <c r="L14" s="40">
        <v>6243.3244140884617</v>
      </c>
      <c r="M14" s="40">
        <v>6243.3244140884617</v>
      </c>
      <c r="N14" s="40">
        <v>6243.3244140884617</v>
      </c>
      <c r="O14" s="40">
        <v>6243.3244140884617</v>
      </c>
      <c r="P14" s="40">
        <v>6243.3244140884617</v>
      </c>
      <c r="Q14" s="40">
        <v>6243.3244140884617</v>
      </c>
      <c r="R14" s="7">
        <v>0</v>
      </c>
    </row>
    <row r="15" spans="1:18" x14ac:dyDescent="0.35">
      <c r="A15" s="3" t="s">
        <v>406</v>
      </c>
      <c r="B15" s="36"/>
      <c r="C15" s="7">
        <f>C13-C14</f>
        <v>6651094.1399999829</v>
      </c>
      <c r="D15" s="7">
        <f>D13+D14</f>
        <v>4465879.2977772038</v>
      </c>
      <c r="E15" s="7">
        <f>E13+E14</f>
        <v>4465652.9224340841</v>
      </c>
      <c r="F15" s="7">
        <f t="shared" ref="F15:Q15" si="3">F13+F14</f>
        <v>4465652.9224340841</v>
      </c>
      <c r="G15" s="7">
        <f t="shared" si="3"/>
        <v>4465652.9224340841</v>
      </c>
      <c r="H15" s="7">
        <f t="shared" si="3"/>
        <v>4465652.9224340841</v>
      </c>
      <c r="I15" s="7">
        <f t="shared" si="3"/>
        <v>4467775.235620277</v>
      </c>
      <c r="J15" s="7">
        <f t="shared" si="3"/>
        <v>6765455.9460431887</v>
      </c>
      <c r="K15" s="7">
        <f t="shared" si="3"/>
        <v>6765455.9460431887</v>
      </c>
      <c r="L15" s="7">
        <f t="shared" si="3"/>
        <v>6765455.9460431887</v>
      </c>
      <c r="M15" s="7">
        <f t="shared" si="3"/>
        <v>6765455.9460431887</v>
      </c>
      <c r="N15" s="7">
        <f t="shared" si="3"/>
        <v>6765455.9460431887</v>
      </c>
      <c r="O15" s="7">
        <f t="shared" si="3"/>
        <v>6765455.9460431887</v>
      </c>
      <c r="P15" s="7">
        <f t="shared" si="3"/>
        <v>6765455.9460431887</v>
      </c>
      <c r="Q15" s="7">
        <f t="shared" si="3"/>
        <v>6765455.9460431887</v>
      </c>
      <c r="R15" s="7">
        <f>R13+R14</f>
        <v>87602104.951081231</v>
      </c>
    </row>
    <row r="16" spans="1:18" x14ac:dyDescent="0.35">
      <c r="B16" s="36"/>
      <c r="C16" s="7"/>
      <c r="D16" s="7"/>
      <c r="E16" s="7"/>
      <c r="F16" s="7"/>
      <c r="G16" s="7"/>
      <c r="H16" s="7"/>
      <c r="I16" s="7"/>
      <c r="J16" s="7"/>
      <c r="K16" s="7"/>
      <c r="L16" s="7"/>
      <c r="M16" s="7"/>
      <c r="N16" s="7"/>
      <c r="O16" s="7"/>
      <c r="P16" s="7"/>
      <c r="Q16" s="7"/>
      <c r="R16" s="7"/>
    </row>
    <row r="17" spans="1:18" x14ac:dyDescent="0.35">
      <c r="A17" s="3" t="s">
        <v>380</v>
      </c>
      <c r="B17" s="36">
        <v>0.5</v>
      </c>
      <c r="C17" s="7">
        <v>6759212.7479825281</v>
      </c>
      <c r="D17" s="7">
        <v>4461531.8877772056</v>
      </c>
      <c r="E17" s="7">
        <f t="shared" ref="E17:Q17" si="4">E12*0.5</f>
        <v>4461531.9112061886</v>
      </c>
      <c r="F17" s="7">
        <f t="shared" si="4"/>
        <v>4461531.9112061886</v>
      </c>
      <c r="G17" s="7">
        <f t="shared" si="4"/>
        <v>4461531.9112061886</v>
      </c>
      <c r="H17" s="7">
        <f t="shared" si="4"/>
        <v>4461531.9112061886</v>
      </c>
      <c r="I17" s="7">
        <f t="shared" si="4"/>
        <v>4461531.9112061886</v>
      </c>
      <c r="J17" s="7">
        <f t="shared" si="4"/>
        <v>6759212.6216291003</v>
      </c>
      <c r="K17" s="7">
        <f t="shared" si="4"/>
        <v>6759212.6216291003</v>
      </c>
      <c r="L17" s="7">
        <f t="shared" si="4"/>
        <v>6759212.6216291003</v>
      </c>
      <c r="M17" s="7">
        <f t="shared" si="4"/>
        <v>6759212.6216291003</v>
      </c>
      <c r="N17" s="7">
        <f t="shared" si="4"/>
        <v>6759212.6216291003</v>
      </c>
      <c r="O17" s="7">
        <f t="shared" si="4"/>
        <v>6759212.6216291003</v>
      </c>
      <c r="P17" s="7">
        <f t="shared" si="4"/>
        <v>6759212.6216291003</v>
      </c>
      <c r="Q17" s="7">
        <f t="shared" si="4"/>
        <v>6759212.6216291003</v>
      </c>
      <c r="R17" s="7">
        <f>SUM(C17:P17)</f>
        <v>80842892.543194398</v>
      </c>
    </row>
    <row r="18" spans="1:18" x14ac:dyDescent="0.35">
      <c r="A18" s="37" t="s">
        <v>361</v>
      </c>
      <c r="B18" s="36">
        <v>3.0000000000000001E-3</v>
      </c>
      <c r="C18" s="51">
        <f>B18*C17</f>
        <v>20277.638243947586</v>
      </c>
      <c r="D18" s="51">
        <f t="shared" ref="D18:P18" si="5">D17*0.003</f>
        <v>13384.595663331616</v>
      </c>
      <c r="E18" s="51">
        <f t="shared" si="5"/>
        <v>13384.595733618566</v>
      </c>
      <c r="F18" s="51">
        <f t="shared" si="5"/>
        <v>13384.595733618566</v>
      </c>
      <c r="G18" s="51">
        <f t="shared" si="5"/>
        <v>13384.595733618566</v>
      </c>
      <c r="H18" s="51">
        <f t="shared" si="5"/>
        <v>13384.595733618566</v>
      </c>
      <c r="I18" s="51">
        <f t="shared" si="5"/>
        <v>13384.595733618566</v>
      </c>
      <c r="J18" s="51">
        <f t="shared" si="5"/>
        <v>20277.6378648873</v>
      </c>
      <c r="K18" s="51">
        <f t="shared" si="5"/>
        <v>20277.6378648873</v>
      </c>
      <c r="L18" s="51">
        <f t="shared" si="5"/>
        <v>20277.6378648873</v>
      </c>
      <c r="M18" s="51">
        <f t="shared" si="5"/>
        <v>20277.6378648873</v>
      </c>
      <c r="N18" s="51">
        <f t="shared" si="5"/>
        <v>20277.6378648873</v>
      </c>
      <c r="O18" s="51">
        <f t="shared" si="5"/>
        <v>20277.6378648873</v>
      </c>
      <c r="P18" s="51">
        <f t="shared" si="5"/>
        <v>20277.6378648873</v>
      </c>
      <c r="Q18" s="51">
        <f t="shared" ref="Q18" si="6">Q17*0.003</f>
        <v>20277.6378648873</v>
      </c>
      <c r="R18" s="51">
        <f>SUM(C18:Q18)</f>
        <v>262806.31549447047</v>
      </c>
    </row>
    <row r="19" spans="1:18" x14ac:dyDescent="0.35">
      <c r="A19" s="37" t="s">
        <v>362</v>
      </c>
      <c r="B19" s="36">
        <v>0.05</v>
      </c>
      <c r="C19" s="51">
        <v>337960.63</v>
      </c>
      <c r="D19" s="51">
        <v>223076.6</v>
      </c>
      <c r="E19" s="51">
        <f t="shared" ref="E19:P19" si="7">$B$19*E17</f>
        <v>223076.59556030945</v>
      </c>
      <c r="F19" s="51">
        <f t="shared" si="7"/>
        <v>223076.59556030945</v>
      </c>
      <c r="G19" s="51">
        <f t="shared" si="7"/>
        <v>223076.59556030945</v>
      </c>
      <c r="H19" s="51">
        <f t="shared" si="7"/>
        <v>223076.59556030945</v>
      </c>
      <c r="I19" s="51">
        <f t="shared" si="7"/>
        <v>223076.59556030945</v>
      </c>
      <c r="J19" s="51">
        <f t="shared" si="7"/>
        <v>337960.63108145504</v>
      </c>
      <c r="K19" s="51">
        <f t="shared" si="7"/>
        <v>337960.63108145504</v>
      </c>
      <c r="L19" s="51">
        <f t="shared" si="7"/>
        <v>337960.63108145504</v>
      </c>
      <c r="M19" s="51">
        <f t="shared" si="7"/>
        <v>337960.63108145504</v>
      </c>
      <c r="N19" s="51">
        <f t="shared" si="7"/>
        <v>337960.63108145504</v>
      </c>
      <c r="O19" s="51">
        <f t="shared" si="7"/>
        <v>337960.63108145504</v>
      </c>
      <c r="P19" s="51">
        <f t="shared" si="7"/>
        <v>337960.63108145504</v>
      </c>
      <c r="Q19" s="51">
        <f t="shared" ref="Q19" si="8">$B$19*Q17</f>
        <v>337960.63108145504</v>
      </c>
      <c r="R19" s="51">
        <f t="shared" ref="R19:R21" si="9">SUM(C19:Q19)</f>
        <v>4380105.2564531872</v>
      </c>
    </row>
    <row r="20" spans="1:18" x14ac:dyDescent="0.35">
      <c r="A20" s="37" t="s">
        <v>363</v>
      </c>
      <c r="B20" s="36">
        <v>0.15</v>
      </c>
      <c r="C20" s="51">
        <v>1511333.46</v>
      </c>
      <c r="D20" s="51">
        <v>1511333.46</v>
      </c>
      <c r="E20" s="51">
        <f t="shared" ref="E20:P20" si="10">$B$20*E17</f>
        <v>669229.78668092832</v>
      </c>
      <c r="F20" s="51">
        <f t="shared" si="10"/>
        <v>669229.78668092832</v>
      </c>
      <c r="G20" s="51">
        <f t="shared" si="10"/>
        <v>669229.78668092832</v>
      </c>
      <c r="H20" s="51">
        <f t="shared" si="10"/>
        <v>669229.78668092832</v>
      </c>
      <c r="I20" s="51">
        <f t="shared" si="10"/>
        <v>669229.78668092832</v>
      </c>
      <c r="J20" s="51">
        <f t="shared" si="10"/>
        <v>1013881.893244365</v>
      </c>
      <c r="K20" s="51">
        <f t="shared" si="10"/>
        <v>1013881.893244365</v>
      </c>
      <c r="L20" s="51">
        <f t="shared" si="10"/>
        <v>1013881.893244365</v>
      </c>
      <c r="M20" s="51">
        <f t="shared" si="10"/>
        <v>1013881.893244365</v>
      </c>
      <c r="N20" s="51">
        <f t="shared" si="10"/>
        <v>1013881.893244365</v>
      </c>
      <c r="O20" s="51">
        <f t="shared" si="10"/>
        <v>1013881.893244365</v>
      </c>
      <c r="P20" s="51">
        <f t="shared" si="10"/>
        <v>1013881.893244365</v>
      </c>
      <c r="Q20" s="51">
        <f t="shared" ref="Q20" si="11">$B$20*Q17</f>
        <v>1013881.893244365</v>
      </c>
      <c r="R20" s="51">
        <f t="shared" si="9"/>
        <v>14479870.999359563</v>
      </c>
    </row>
    <row r="21" spans="1:18" x14ac:dyDescent="0.35">
      <c r="A21" s="37" t="s">
        <v>364</v>
      </c>
      <c r="B21" s="36"/>
      <c r="C21" s="40">
        <v>78793.67</v>
      </c>
      <c r="D21" s="51">
        <v>4347.3677772043702</v>
      </c>
      <c r="E21" s="51">
        <v>4121.011227895774</v>
      </c>
      <c r="F21" s="51">
        <v>4121.011227895774</v>
      </c>
      <c r="G21" s="51">
        <v>4121.011227895774</v>
      </c>
      <c r="H21" s="51">
        <v>4121.011227895774</v>
      </c>
      <c r="I21" s="51">
        <v>6243.3244140884617</v>
      </c>
      <c r="J21" s="51">
        <v>6243.3244140884617</v>
      </c>
      <c r="K21" s="51">
        <v>6243.3244140884617</v>
      </c>
      <c r="L21" s="51">
        <v>6243.3244140884617</v>
      </c>
      <c r="M21" s="51">
        <v>6243.3244140884617</v>
      </c>
      <c r="N21" s="51">
        <v>6243.3244140884617</v>
      </c>
      <c r="O21" s="51">
        <v>6243.3244140884617</v>
      </c>
      <c r="P21" s="51">
        <v>6243.3244140884617</v>
      </c>
      <c r="Q21" s="51">
        <v>6244.3244140884599</v>
      </c>
      <c r="R21" s="51">
        <f t="shared" si="9"/>
        <v>155816.00241558356</v>
      </c>
    </row>
    <row r="22" spans="1:18" x14ac:dyDescent="0.35">
      <c r="A22" s="3" t="s">
        <v>381</v>
      </c>
      <c r="C22" s="7">
        <f>C17-(C18+C19+C20)</f>
        <v>4889641.019738581</v>
      </c>
      <c r="D22" s="7">
        <v>2709389.8600000008</v>
      </c>
      <c r="E22" s="7">
        <f t="shared" ref="E22:Q22" si="12">E17-(E18+E19+E20)</f>
        <v>3555840.9332313323</v>
      </c>
      <c r="F22" s="7">
        <f t="shared" si="12"/>
        <v>3555840.9332313323</v>
      </c>
      <c r="G22" s="7">
        <f t="shared" si="12"/>
        <v>3555840.9332313323</v>
      </c>
      <c r="H22" s="7">
        <f t="shared" si="12"/>
        <v>3555840.9332313323</v>
      </c>
      <c r="I22" s="7">
        <f t="shared" si="12"/>
        <v>3555840.9332313323</v>
      </c>
      <c r="J22" s="7">
        <f t="shared" si="12"/>
        <v>5387092.4594383929</v>
      </c>
      <c r="K22" s="7">
        <f t="shared" si="12"/>
        <v>5387092.4594383929</v>
      </c>
      <c r="L22" s="7">
        <f t="shared" si="12"/>
        <v>5387092.4594383929</v>
      </c>
      <c r="M22" s="7">
        <f t="shared" si="12"/>
        <v>5387092.4594383929</v>
      </c>
      <c r="N22" s="7">
        <f t="shared" si="12"/>
        <v>5387092.4594383929</v>
      </c>
      <c r="O22" s="7">
        <f t="shared" si="12"/>
        <v>5387092.4594383929</v>
      </c>
      <c r="P22" s="7">
        <f t="shared" si="12"/>
        <v>5387092.4594383929</v>
      </c>
      <c r="Q22" s="7">
        <f t="shared" si="12"/>
        <v>5387092.4594383929</v>
      </c>
      <c r="R22" s="7">
        <f>SUM(C22:Q22)</f>
        <v>68474975.221402377</v>
      </c>
    </row>
    <row r="23" spans="1:18" x14ac:dyDescent="0.35">
      <c r="A23" s="37"/>
      <c r="F23" s="7"/>
    </row>
  </sheetData>
  <sheetProtection algorithmName="SHA-512" hashValue="XZrdT8tdxMPlwEcDhgv5XASHYQq5gwOq7Gb0tT7iIcC4yID44jDZJRE0iHTBChDD0Hag2rPARe0ZVa2nSTXIjQ==" saltValue="RB/R0odQN8Q11ANyywfi/A==" spinCount="100000" sheet="1" sort="0" autoFilter="0" pivotTables="0"/>
  <phoneticPr fontId="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56D3-78F8-4264-AEC0-DF6AEFE19313}">
  <sheetPr codeName="Sheet1"/>
  <dimension ref="A1:U29"/>
  <sheetViews>
    <sheetView workbookViewId="0">
      <selection activeCell="A25" sqref="A25:I25"/>
    </sheetView>
  </sheetViews>
  <sheetFormatPr defaultColWidth="9.109375" defaultRowHeight="18" x14ac:dyDescent="0.35"/>
  <cols>
    <col min="1" max="1" width="31.88671875" style="3" customWidth="1"/>
    <col min="2" max="2" width="22" style="3" customWidth="1"/>
    <col min="3" max="3" width="18.5546875" style="3" customWidth="1"/>
    <col min="4" max="4" width="23.6640625" style="3" customWidth="1"/>
    <col min="5" max="5" width="22.6640625" style="3" bestFit="1" customWidth="1"/>
    <col min="6" max="10" width="21" style="3" bestFit="1" customWidth="1"/>
    <col min="11" max="11" width="22.44140625" style="3" customWidth="1"/>
    <col min="12" max="12" width="21.88671875" style="3" customWidth="1"/>
    <col min="13" max="14" width="21" style="3" bestFit="1" customWidth="1"/>
    <col min="15" max="15" width="22.33203125" style="3" customWidth="1"/>
    <col min="16" max="16" width="22" style="3" customWidth="1"/>
    <col min="17" max="17" width="21" style="3" bestFit="1" customWidth="1"/>
    <col min="18" max="18" width="21.33203125" style="3" customWidth="1"/>
    <col min="19" max="19" width="24.44140625" style="3" customWidth="1"/>
    <col min="20" max="20" width="20" style="3" customWidth="1"/>
    <col min="21" max="21" width="17" style="3" customWidth="1"/>
    <col min="22" max="16384" width="9.109375" style="3"/>
  </cols>
  <sheetData>
    <row r="1" spans="1:21" ht="24.6" x14ac:dyDescent="0.4">
      <c r="A1" s="22" t="s">
        <v>302</v>
      </c>
    </row>
    <row r="3" spans="1:21" x14ac:dyDescent="0.35">
      <c r="A3" s="107" t="s">
        <v>270</v>
      </c>
      <c r="B3" s="108"/>
      <c r="C3" s="3" t="s">
        <v>303</v>
      </c>
    </row>
    <row r="4" spans="1:21" x14ac:dyDescent="0.35">
      <c r="A4" s="45"/>
    </row>
    <row r="5" spans="1:21" x14ac:dyDescent="0.35">
      <c r="B5" s="11">
        <v>2021</v>
      </c>
      <c r="C5" s="11">
        <v>2022</v>
      </c>
      <c r="D5" s="11">
        <v>2023</v>
      </c>
      <c r="E5" s="11">
        <v>2024</v>
      </c>
      <c r="F5" s="11">
        <v>2025</v>
      </c>
      <c r="G5" s="11">
        <v>2026</v>
      </c>
      <c r="H5" s="11">
        <v>2027</v>
      </c>
      <c r="I5" s="11">
        <v>2028</v>
      </c>
      <c r="J5" s="11">
        <v>2029</v>
      </c>
      <c r="K5" s="11">
        <v>2030</v>
      </c>
      <c r="L5" s="11">
        <v>2031</v>
      </c>
      <c r="M5" s="11">
        <v>2032</v>
      </c>
      <c r="N5" s="11">
        <v>2033</v>
      </c>
      <c r="O5" s="11">
        <v>2034</v>
      </c>
      <c r="P5" s="11">
        <v>2035</v>
      </c>
      <c r="Q5" s="11">
        <v>2036</v>
      </c>
      <c r="R5" s="11">
        <v>2037</v>
      </c>
      <c r="S5" s="11">
        <v>2038</v>
      </c>
      <c r="T5" s="11">
        <v>2039</v>
      </c>
      <c r="U5" s="11">
        <v>2040</v>
      </c>
    </row>
    <row r="6" spans="1:21" x14ac:dyDescent="0.35">
      <c r="A6" s="3" t="s">
        <v>9</v>
      </c>
      <c r="B6" s="7">
        <f>SUMIF(Allergan!$E$1:$K$1,B$5,INDEX(Allergan!$E$4:$K$283,MATCH($A$3,Allergan!$C$4:$C$283,0),0))</f>
        <v>0</v>
      </c>
      <c r="C6" s="7">
        <f>SUMIF(Allergan!$E$1:$K$1,C$5,INDEX(Allergan!$E$4:$K$283,MATCH($A$3,Allergan!$C$4:$C$283,0),0))</f>
        <v>0</v>
      </c>
      <c r="D6" s="7">
        <f>SUMIF(Allergan!$E$1:$K$1,D$5,INDEX(Allergan!$E$4:$K$283,MATCH($A$3,Allergan!$C$4:$C$283,0),0))</f>
        <v>0</v>
      </c>
      <c r="E6" s="7">
        <f>SUMIF(Allergan!$E$1:$K$1,E$5,INDEX(Allergan!$E$4:$K$283,MATCH($A$3,Allergan!$C$4:$C$283,0),0))</f>
        <v>10507315.122836147</v>
      </c>
      <c r="F6" s="7">
        <f>SUMIF(Allergan!$E$1:$K$1,F$5,INDEX(Allergan!$E$4:$K$283,MATCH($A$3,Allergan!$C$4:$C$283,0),0))</f>
        <v>5188893.5981165972</v>
      </c>
      <c r="G6" s="7">
        <f>SUMIF(Allergan!$E$1:$K$1,G$5,INDEX(Allergan!$E$4:$K$283,MATCH($A$3,Allergan!$C$4:$C$283,0),0))</f>
        <v>5188893.5981165962</v>
      </c>
      <c r="H6" s="7">
        <f>SUMIF(Allergan!$E$1:$K$1,H$5,INDEX(Allergan!$E$4:$K$283,MATCH($A$3,Allergan!$C$4:$C$283,0),0))</f>
        <v>5188893.5983182639</v>
      </c>
      <c r="I6" s="7">
        <f>SUMIF(Allergan!$E$1:$K$1,I$5,INDEX(Allergan!$E$4:$K$283,MATCH($A$3,Allergan!$C$4:$C$283,0),0))</f>
        <v>5188893.5983182639</v>
      </c>
      <c r="J6" s="7">
        <f>SUMIF(Allergan!$E$1:$K$1,J$5,INDEX(Allergan!$E$4:$K$283,MATCH($A$3,Allergan!$C$4:$C$283,0),0))</f>
        <v>5188893.598318263</v>
      </c>
      <c r="K6" s="7">
        <f>SUMIF(Allergan!$E$1:$K$1,K$5,INDEX(Allergan!$E$4:$K$283,MATCH($A$3,Allergan!$C$4:$C$283,0),0))</f>
        <v>0</v>
      </c>
      <c r="L6" s="7">
        <f>SUMIF(Allergan!$E$1:$K$1,L$5,INDEX(Allergan!$E$4:$K$283,MATCH($A$3,Allergan!$C$4:$C$283,0),0))</f>
        <v>0</v>
      </c>
      <c r="M6" s="7">
        <f>SUMIF(Allergan!$E$1:$K$1,M$5,INDEX(Allergan!$E$4:$K$283,MATCH($A$3,Allergan!$C$4:$C$283,0),0))</f>
        <v>0</v>
      </c>
      <c r="N6" s="7">
        <f>SUMIF(Allergan!$E$1:$K$1,N$5,INDEX(Allergan!$E$4:$K$283,MATCH($A$3,Allergan!$C$4:$C$283,0),0))</f>
        <v>0</v>
      </c>
      <c r="O6" s="7">
        <f>SUMIF(Allergan!$E$1:$K$1,O$5,INDEX(Allergan!$E$4:$K$283,MATCH($A$3,Allergan!$C$4:$C$283,0),0))</f>
        <v>0</v>
      </c>
      <c r="P6" s="7">
        <f>SUMIF(Allergan!$E$1:$K$1,P$5,INDEX(Allergan!$E$4:$K$283,MATCH($A$3,Allergan!$C$4:$C$283,0),0))</f>
        <v>0</v>
      </c>
      <c r="Q6" s="7">
        <f>SUMIF(Allergan!$E$1:$K$1,Q$5,INDEX(Allergan!$E$4:$K$283,MATCH($A$3,Allergan!$C$4:$C$283,0),0))</f>
        <v>0</v>
      </c>
      <c r="R6" s="7">
        <f>SUMIF(Allergan!$E$1:$K$1,R$5,INDEX(Allergan!$E$4:$K$283,MATCH($A$3,Allergan!$C$4:$C$283,0),0))</f>
        <v>0</v>
      </c>
      <c r="S6" s="7">
        <f>SUMIF(Allergan!$E$1:$K$1,S$5,INDEX(Allergan!$E$4:$K$283,MATCH($A$3,Allergan!$C$4:$C$283,0),0))</f>
        <v>0</v>
      </c>
      <c r="T6" s="7">
        <f>SUMIF(Allergan!$E$1:$K$1,T$5,INDEX(Allergan!$E$4:$K$283,MATCH($A$3,Allergan!$C$4:$C$283,0),0))</f>
        <v>0</v>
      </c>
      <c r="U6" s="7">
        <f>SUMIF(Allergan!$E$1:$K$1,U$5,INDEX(Allergan!$E$4:$K$283,MATCH($A$3,Allergan!$C$4:$C$283,0),0))</f>
        <v>0</v>
      </c>
    </row>
    <row r="7" spans="1:21" x14ac:dyDescent="0.35">
      <c r="A7" s="3" t="s">
        <v>10</v>
      </c>
      <c r="B7" s="7">
        <f>SUMIF(CVS!$E$1:$N$1,B$5,INDEX(CVS!$E$4:$N$283,MATCH($A$3,CVS!$C$4:$C$283,0),0))</f>
        <v>0</v>
      </c>
      <c r="C7" s="7">
        <f>SUMIF(CVS!$E$1:$N$1,C$5,INDEX(CVS!$E$4:$N$283,MATCH($A$3,CVS!$C$4:$C$283,0),0))</f>
        <v>0</v>
      </c>
      <c r="D7" s="7">
        <f>SUMIF(CVS!$E$1:$N$1,D$5,INDEX(CVS!$E$4:$N$283,MATCH($A$3,CVS!$C$4:$C$283,0),0))</f>
        <v>0</v>
      </c>
      <c r="E7" s="7">
        <f>SUMIF(CVS!$E$1:$N$1,E$5,INDEX(CVS!$E$4:$N$283,MATCH($A$3,CVS!$C$4:$C$283,0),0))</f>
        <v>10258777.751194853</v>
      </c>
      <c r="F7" s="7">
        <f>SUMIF(CVS!$E$1:$N$1,F$5,INDEX(CVS!$E$4:$N$283,MATCH($A$3,CVS!$C$4:$C$283,0),0))</f>
        <v>9188775.3627351001</v>
      </c>
      <c r="G7" s="7">
        <f>SUMIF(CVS!$E$1:$N$1,G$5,INDEX(CVS!$E$4:$N$283,MATCH($A$3,CVS!$C$4:$C$283,0),0))</f>
        <v>9188775.3627351001</v>
      </c>
      <c r="H7" s="7">
        <f>SUMIF(CVS!$E$1:$N$1,H$5,INDEX(CVS!$E$4:$N$283,MATCH($A$3,CVS!$C$4:$C$283,0),0))</f>
        <v>9188775.3627351001</v>
      </c>
      <c r="I7" s="7">
        <f>SUMIF(CVS!$E$1:$N$1,I$5,INDEX(CVS!$E$4:$N$283,MATCH($A$3,CVS!$C$4:$C$283,0),0))</f>
        <v>9188775.3627351001</v>
      </c>
      <c r="J7" s="7">
        <f>SUMIF(CVS!$E$1:$N$1,J$5,INDEX(CVS!$E$4:$N$283,MATCH($A$3,CVS!$C$4:$C$283,0),0))</f>
        <v>8729700.8950049058</v>
      </c>
      <c r="K7" s="7">
        <f>SUMIF(CVS!$E$1:$N$1,K$5,INDEX(CVS!$E$4:$N$283,MATCH($A$3,CVS!$C$4:$C$283,0),0))</f>
        <v>8270626.4084281437</v>
      </c>
      <c r="L7" s="7">
        <f>SUMIF(CVS!$E$1:$N$1,L$5,INDEX(CVS!$E$4:$N$283,MATCH($A$3,CVS!$C$4:$C$283,0),0))</f>
        <v>8263340.6829954498</v>
      </c>
      <c r="M7" s="7">
        <f>SUMIF(CVS!$E$1:$N$1,M$5,INDEX(CVS!$E$4:$N$283,MATCH($A$3,CVS!$C$4:$C$283,0),0))</f>
        <v>8263340.6829954498</v>
      </c>
      <c r="N7" s="7">
        <f>SUMIF(CVS!$E$1:$N$1,N$5,INDEX(CVS!$E$4:$N$283,MATCH($A$3,CVS!$C$4:$C$283,0),0))</f>
        <v>0</v>
      </c>
      <c r="O7" s="7">
        <f>SUMIF(CVS!$E$1:$N$1,O$5,INDEX(CVS!$E$4:$N$283,MATCH($A$3,CVS!$C$4:$C$283,0),0))</f>
        <v>0</v>
      </c>
      <c r="P7" s="7">
        <f>SUMIF(CVS!$E$1:$N$1,P$5,INDEX(CVS!$E$4:$N$283,MATCH($A$3,CVS!$C$4:$C$283,0),0))</f>
        <v>0</v>
      </c>
      <c r="Q7" s="7">
        <f>SUMIF(CVS!$E$1:$N$1,Q$5,INDEX(CVS!$E$4:$N$283,MATCH($A$3,CVS!$C$4:$C$283,0),0))</f>
        <v>0</v>
      </c>
      <c r="R7" s="7">
        <f>SUMIF(CVS!$E$1:$N$1,R$5,INDEX(CVS!$E$4:$N$283,MATCH($A$3,CVS!$C$4:$C$283,0),0))</f>
        <v>0</v>
      </c>
      <c r="S7" s="7">
        <f>SUMIF(CVS!$E$1:$N$1,S$5,INDEX(CVS!$E$4:$N$283,MATCH($A$3,CVS!$C$4:$C$283,0),0))</f>
        <v>0</v>
      </c>
      <c r="T7" s="7">
        <f>SUMIF(CVS!$E$1:$N$1,T$5,INDEX(CVS!$E$4:$N$283,MATCH($A$3,CVS!$C$4:$C$283,0),0))</f>
        <v>0</v>
      </c>
      <c r="U7" s="7">
        <f>SUMIF(CVS!$E$1:$N$1,U$5,INDEX(CVS!$E$4:$N$283,MATCH($A$3,CVS!$C$4:$C$283,0),0))</f>
        <v>0</v>
      </c>
    </row>
    <row r="8" spans="1:21" x14ac:dyDescent="0.35">
      <c r="A8" s="3" t="s">
        <v>5</v>
      </c>
      <c r="B8" s="7">
        <f>SUMIF(McKinsey!$D$1:$H$1,B$5,INDEX(McKinsey!$D$4:$H$283,MATCH($A$3,McKinsey!$C$4:$C$283,0),0))</f>
        <v>16210202.210000001</v>
      </c>
      <c r="C8" s="7">
        <f>SUMIF(McKinsey!$D$1:$H$1,C$5,INDEX(McKinsey!$D$4:$H$283,MATCH($A$3,McKinsey!$C$4:$C$283,0),0))</f>
        <v>836753.43</v>
      </c>
      <c r="D8" s="7">
        <f>SUMIF(McKinsey!$D$1:$H$1,D$5,INDEX(McKinsey!$D$4:$H$283,MATCH($A$3,McKinsey!$C$4:$C$283,0),0))</f>
        <v>836753.43</v>
      </c>
      <c r="E8" s="7">
        <f>SUMIF(McKinsey!$D$1:$H$1,E$5,INDEX(McKinsey!$D$4:$H$283,MATCH($A$3,McKinsey!$C$4:$C$283,0),0))</f>
        <v>836753.43</v>
      </c>
      <c r="F8" s="7">
        <f>SUMIF(McKinsey!$D$1:$H$1,F$5,INDEX(McKinsey!$D$4:$H$283,MATCH($A$3,McKinsey!$C$4:$C$283,0),0))</f>
        <v>836753.43</v>
      </c>
      <c r="G8" s="7">
        <f>SUMIF(McKinsey!$D$1:$H$1,G$5,INDEX(McKinsey!$D$4:$H$283,MATCH($A$3,McKinsey!$C$4:$C$283,0),0))</f>
        <v>0</v>
      </c>
      <c r="H8" s="7">
        <f>SUMIF(McKinsey!$D$1:$H$1,H$5,INDEX(McKinsey!$D$4:$H$283,MATCH($A$3,McKinsey!$C$4:$C$283,0),0))</f>
        <v>0</v>
      </c>
      <c r="I8" s="7">
        <f>SUMIF(McKinsey!$D$1:$H$1,I$5,INDEX(McKinsey!$D$4:$H$283,MATCH($A$3,McKinsey!$C$4:$C$283,0),0))</f>
        <v>0</v>
      </c>
      <c r="J8" s="7">
        <f>SUMIF(McKinsey!$D$1:$H$1,J$5,INDEX(McKinsey!$D$4:$H$283,MATCH($A$3,McKinsey!$C$4:$C$283,0),0))</f>
        <v>0</v>
      </c>
      <c r="K8" s="7">
        <f>SUMIF(McKinsey!$D$1:$H$1,K$5,INDEX(McKinsey!$D$4:$H$283,MATCH($A$3,McKinsey!$C$4:$C$283,0),0))</f>
        <v>0</v>
      </c>
      <c r="L8" s="7">
        <f>SUMIF(McKinsey!$D$1:$H$1,L$5,INDEX(McKinsey!$D$4:$H$283,MATCH($A$3,McKinsey!$C$4:$C$283,0),0))</f>
        <v>0</v>
      </c>
      <c r="M8" s="7">
        <f>SUMIF(McKinsey!$D$1:$H$1,M$5,INDEX(McKinsey!$D$4:$H$283,MATCH($A$3,McKinsey!$C$4:$C$283,0),0))</f>
        <v>0</v>
      </c>
      <c r="N8" s="7">
        <f>SUMIF(McKinsey!$D$1:$H$1,N$5,INDEX(McKinsey!$D$4:$H$283,MATCH($A$3,McKinsey!$C$4:$C$283,0),0))</f>
        <v>0</v>
      </c>
      <c r="O8" s="7">
        <f>SUMIF(McKinsey!$D$1:$H$1,O$5,INDEX(McKinsey!$D$4:$H$283,MATCH($A$3,McKinsey!$C$4:$C$283,0),0))</f>
        <v>0</v>
      </c>
      <c r="P8" s="7">
        <f>SUMIF(McKinsey!$D$1:$H$1,P$5,INDEX(McKinsey!$D$4:$H$283,MATCH($A$3,McKinsey!$C$4:$C$283,0),0))</f>
        <v>0</v>
      </c>
      <c r="Q8" s="7">
        <f>SUMIF(McKinsey!$D$1:$H$1,Q$5,INDEX(McKinsey!$D$4:$H$283,MATCH($A$3,McKinsey!$C$4:$C$283,0),0))</f>
        <v>0</v>
      </c>
      <c r="R8" s="7">
        <f>SUMIF(McKinsey!$D$1:$H$1,R$5,INDEX(McKinsey!$D$4:$H$283,MATCH($A$3,McKinsey!$C$4:$C$283,0),0))</f>
        <v>0</v>
      </c>
      <c r="S8" s="7">
        <f>SUMIF(McKinsey!$D$1:$H$1,S$5,INDEX(McKinsey!$D$4:$H$283,MATCH($A$3,McKinsey!$C$4:$C$283,0),0))</f>
        <v>0</v>
      </c>
      <c r="T8" s="7">
        <f>SUMIF(McKinsey!$D$1:$H$1,T$5,INDEX(McKinsey!$D$4:$H$283,MATCH($A$3,McKinsey!$C$4:$C$283,0),0))</f>
        <v>0</v>
      </c>
      <c r="U8" s="7">
        <f>SUMIF(McKinsey!$D$1:$H$1,U$5,INDEX(McKinsey!$D$4:$H$283,MATCH($A$3,McKinsey!$C$4:$C$283,0),0))</f>
        <v>0</v>
      </c>
    </row>
    <row r="9" spans="1:21" x14ac:dyDescent="0.35">
      <c r="A9" s="3" t="s">
        <v>304</v>
      </c>
      <c r="B9" s="7">
        <f>SUMIF(Distributors!$E$1:$Y$1,B$5,INDEX(Distributors!$E$4:$Y$283,MATCH($A$3,Distributors!$C$4:$C$283,0),0))</f>
        <v>0</v>
      </c>
      <c r="C9" s="7">
        <f>SUMIF(Distributors!$E$1:$Y$1,C$5,INDEX(Distributors!$E$4:$Y$283,MATCH($A$3,Distributors!$C$4:$C$283,0),0))</f>
        <v>0</v>
      </c>
      <c r="D9" s="7">
        <f>SUMIF(Distributors!$E$1:$Y$1,D$5,INDEX(Distributors!$E$4:$Y$283,MATCH($A$3,Distributors!$C$4:$C$283,0),0))</f>
        <v>41799701.086228848</v>
      </c>
      <c r="E9" s="7">
        <f>SUMIF(Distributors!$E$1:$Y$1,E$5,INDEX(Distributors!$E$4:$Y$283,MATCH($A$3,Distributors!$C$4:$C$283,0),0))</f>
        <v>25545032.57</v>
      </c>
      <c r="F9" s="7">
        <f>SUMIF(Distributors!$E$1:$Y$1,F$5,INDEX(Distributors!$E$4:$Y$283,MATCH($A$3,Distributors!$C$4:$C$283,0),0))</f>
        <v>17736189.833899543</v>
      </c>
      <c r="G9" s="7">
        <f>SUMIF(Distributors!$E$1:$Y$1,G$5,INDEX(Distributors!$E$4:$Y$283,MATCH($A$3,Distributors!$C$4:$C$283,0),0))</f>
        <v>17736189.833729431</v>
      </c>
      <c r="H9" s="7">
        <f>SUMIF(Distributors!$E$1:$Y$1,H$5,INDEX(Distributors!$E$4:$Y$283,MATCH($A$3,Distributors!$C$4:$C$283,0),0))</f>
        <v>6757488.3263180666</v>
      </c>
      <c r="I9" s="7">
        <f>SUMIF(Distributors!$E$1:$Y$1,I$5,INDEX(Distributors!$E$4:$Y$283,MATCH($A$3,Distributors!$C$4:$C$283,0),0))</f>
        <v>20859896.137837995</v>
      </c>
      <c r="J9" s="7">
        <f>SUMIF(Distributors!$E$1:$Y$1,J$5,INDEX(Distributors!$E$4:$Y$283,MATCH($A$3,Distributors!$C$4:$C$283,0),0))</f>
        <v>20859896.137837995</v>
      </c>
      <c r="K9" s="7">
        <f>SUMIF(Distributors!$E$1:$Y$1,K$5,INDEX(Distributors!$E$4:$Y$283,MATCH($A$3,Distributors!$C$4:$C$283,0),0))</f>
        <v>20859896.137837995</v>
      </c>
      <c r="L9" s="7">
        <f>SUMIF(Distributors!$E$1:$Y$1,L$5,INDEX(Distributors!$E$4:$Y$283,MATCH($A$3,Distributors!$C$4:$C$283,0),0))</f>
        <v>17534847.913616531</v>
      </c>
      <c r="M9" s="7">
        <f>SUMIF(Distributors!$E$1:$Y$1,M$5,INDEX(Distributors!$E$4:$Y$283,MATCH($A$3,Distributors!$C$4:$C$283,0),0))</f>
        <v>17534847.913616531</v>
      </c>
      <c r="N9" s="7">
        <f>SUMIF(Distributors!$E$1:$Y$1,N$5,INDEX(Distributors!$E$4:$Y$283,MATCH($A$3,Distributors!$C$4:$C$283,0),0))</f>
        <v>17534847.913616531</v>
      </c>
      <c r="O9" s="7">
        <f>SUMIF(Distributors!$E$1:$Y$1,O$5,INDEX(Distributors!$E$4:$Y$283,MATCH($A$3,Distributors!$C$4:$C$283,0),0))</f>
        <v>17534847.913616531</v>
      </c>
      <c r="P9" s="7">
        <f>SUMIF(Distributors!$E$1:$Y$1,P$5,INDEX(Distributors!$E$4:$Y$283,MATCH($A$3,Distributors!$C$4:$C$283,0),0))</f>
        <v>17534847.913616531</v>
      </c>
      <c r="Q9" s="7">
        <f>SUMIF(Distributors!$E$1:$Y$1,Q$5,INDEX(Distributors!$E$4:$Y$283,MATCH($A$3,Distributors!$C$4:$C$283,0),0))</f>
        <v>17534847.913616531</v>
      </c>
      <c r="R9" s="7">
        <f>SUMIF(Distributors!$E$1:$Y$1,R$5,INDEX(Distributors!$E$4:$Y$283,MATCH($A$3,Distributors!$C$4:$C$283,0),0))</f>
        <v>17534847.913616531</v>
      </c>
      <c r="S9" s="7">
        <f>SUMIF(Distributors!$E$1:$Y$1,S$5,INDEX(Distributors!$E$4:$Y$283,MATCH($A$3,Distributors!$C$4:$C$283,0),0))</f>
        <v>17534847.913616531</v>
      </c>
      <c r="T9" s="7">
        <f>SUMIF(Distributors!$E$1:$Y$1,T$5,INDEX(Distributors!$E$4:$Y$283,MATCH($A$3,Distributors!$C$4:$C$283,0),0))</f>
        <v>0</v>
      </c>
      <c r="U9" s="7">
        <f>SUMIF(Distributors!$E$1:$Y$1,U$5,INDEX(Distributors!$E$4:$Y$283,MATCH($A$3,Distributors!$C$4:$C$283,0),0))</f>
        <v>0</v>
      </c>
    </row>
    <row r="10" spans="1:21" x14ac:dyDescent="0.35">
      <c r="A10" s="3" t="s">
        <v>465</v>
      </c>
      <c r="B10" s="7">
        <v>0</v>
      </c>
      <c r="C10" s="7">
        <v>0</v>
      </c>
      <c r="D10" s="7">
        <v>0</v>
      </c>
      <c r="E10" s="7">
        <f>SUMIF(Endo!$B$4:$B$6,A3,Endo!$C$4:$C$6)</f>
        <v>11185538.93</v>
      </c>
      <c r="F10" s="7">
        <v>0</v>
      </c>
      <c r="G10" s="7">
        <v>0</v>
      </c>
      <c r="H10" s="7">
        <v>0</v>
      </c>
      <c r="I10" s="7">
        <v>0</v>
      </c>
      <c r="J10" s="7">
        <v>0</v>
      </c>
      <c r="K10" s="7">
        <v>0</v>
      </c>
      <c r="L10" s="7">
        <v>0</v>
      </c>
      <c r="M10" s="7">
        <v>0</v>
      </c>
      <c r="N10" s="7">
        <v>0</v>
      </c>
      <c r="O10" s="7">
        <v>0</v>
      </c>
      <c r="P10" s="7">
        <v>0</v>
      </c>
      <c r="Q10" s="7">
        <v>0</v>
      </c>
      <c r="R10" s="7">
        <v>0</v>
      </c>
      <c r="S10" s="7">
        <v>0</v>
      </c>
      <c r="T10" s="7">
        <v>0</v>
      </c>
      <c r="U10" s="7">
        <v>0</v>
      </c>
    </row>
    <row r="11" spans="1:21" x14ac:dyDescent="0.35">
      <c r="A11" s="3" t="s">
        <v>7</v>
      </c>
      <c r="B11" s="7">
        <f>SUMIF(Janssen!$E$1:$R$1,B$5,INDEX(Janssen!$E$4:$R$283,MATCH($A$3,Janssen!$C$4:$C$283,0),0))</f>
        <v>0</v>
      </c>
      <c r="C11" s="7">
        <f>SUMIF(Janssen!$E$1:$R$1,C$5,INDEX(Janssen!$E$4:$R$283,MATCH($A$3,Janssen!$C$4:$C$283,0),0))</f>
        <v>0</v>
      </c>
      <c r="D11" s="7">
        <f>SUMIF(Janssen!$E$1:$R$1,D$5,INDEX(Janssen!$E$4:$R$283,MATCH($A$3,Janssen!$C$4:$C$283,0),0))</f>
        <v>55802455.059520625</v>
      </c>
      <c r="E11" s="7">
        <f>SUMIF(Janssen!$E$1:$R$1,E$5,INDEX(Janssen!$E$4:$R$283,MATCH($A$3,Janssen!$C$4:$C$283,0),0))</f>
        <v>1078605.3799999999</v>
      </c>
      <c r="F11" s="7">
        <f>SUMIF(Janssen!$E$1:$R$1,F$5,INDEX(Janssen!$E$4:$R$283,MATCH($A$3,Janssen!$C$4:$C$283,0),0))</f>
        <v>0</v>
      </c>
      <c r="G11" s="7">
        <f>SUMIF(Janssen!$E$1:$R$1,G$5,INDEX(Janssen!$E$4:$R$283,MATCH($A$3,Janssen!$C$4:$C$283,0),0))</f>
        <v>2722821.7523547076</v>
      </c>
      <c r="H11" s="7">
        <f>SUMIF(Janssen!$E$1:$R$1,H$5,INDEX(Janssen!$E$4:$R$283,MATCH($A$3,Janssen!$C$4:$C$283,0),0))</f>
        <v>2722821.7253445899</v>
      </c>
      <c r="I11" s="7">
        <f>SUMIF(Janssen!$E$1:$R$1,I$5,INDEX(Janssen!$E$4:$R$283,MATCH($A$3,Janssen!$C$4:$C$283,0),0))</f>
        <v>2722821.7013243553</v>
      </c>
      <c r="J11" s="7">
        <f>SUMIF(Janssen!$E$1:$R$1,J$5,INDEX(Janssen!$E$4:$R$283,MATCH($A$3,Janssen!$C$4:$C$283,0),0))</f>
        <v>3466628.3273826553</v>
      </c>
      <c r="K11" s="7">
        <f>SUMIF(Janssen!$E$1:$R$1,K$5,INDEX(Janssen!$E$4:$R$283,MATCH($A$3,Janssen!$C$4:$C$283,0),0))</f>
        <v>3466628.354392773</v>
      </c>
      <c r="L11" s="7">
        <f>SUMIF(Janssen!$E$1:$R$1,L$5,INDEX(Janssen!$E$4:$R$283,MATCH($A$3,Janssen!$C$4:$C$283,0),0))</f>
        <v>3466628.3273826553</v>
      </c>
      <c r="M11" s="7">
        <f>SUMIF(Janssen!$E$1:$R$1,M$5,INDEX(Janssen!$E$4:$R$283,MATCH($A$3,Janssen!$C$4:$C$283,0),0))</f>
        <v>0</v>
      </c>
      <c r="N11" s="7">
        <f>SUMIF(Janssen!$E$1:$R$1,N$5,INDEX(Janssen!$E$4:$R$283,MATCH($A$3,Janssen!$C$4:$C$283,0),0))</f>
        <v>0</v>
      </c>
      <c r="O11" s="7">
        <f>SUMIF(Janssen!$E$1:$R$1,O$5,INDEX(Janssen!$E$4:$R$283,MATCH($A$3,Janssen!$C$4:$C$283,0),0))</f>
        <v>0</v>
      </c>
      <c r="P11" s="7">
        <f>SUMIF(Janssen!$E$1:$R$1,P$5,INDEX(Janssen!$E$4:$R$283,MATCH($A$3,Janssen!$C$4:$C$283,0),0))</f>
        <v>0</v>
      </c>
      <c r="Q11" s="7">
        <f>SUMIF(Janssen!$E$1:$R$1,Q$5,INDEX(Janssen!$E$4:$R$283,MATCH($A$3,Janssen!$C$4:$C$283,0),0))</f>
        <v>0</v>
      </c>
      <c r="R11" s="7">
        <f>SUMIF(Janssen!$E$1:$R$1,R$5,INDEX(Janssen!$E$4:$R$283,MATCH($A$3,Janssen!$C$4:$C$283,0),0))</f>
        <v>0</v>
      </c>
      <c r="S11" s="7">
        <f>SUMIF(Janssen!$E$1:$R$1,S$5,INDEX(Janssen!$E$4:$R$283,MATCH($A$3,Janssen!$C$4:$C$283,0),0))</f>
        <v>0</v>
      </c>
      <c r="T11" s="7">
        <f>SUMIF(Janssen!$E$1:$R$1,T$5,INDEX(Janssen!$E$4:$R$283,MATCH($A$3,Janssen!$C$4:$C$283,0),0))</f>
        <v>0</v>
      </c>
      <c r="U11" s="7">
        <f>SUMIF(Janssen!$E$1:$R$1,U$5,INDEX(Janssen!$E$4:$R$283,MATCH($A$3,Janssen!$C$4:$C$283,0),0))</f>
        <v>0</v>
      </c>
    </row>
    <row r="12" spans="1:21" x14ac:dyDescent="0.35">
      <c r="A12" s="3" t="s">
        <v>431</v>
      </c>
      <c r="B12" s="7">
        <v>0</v>
      </c>
      <c r="C12" s="7">
        <v>0</v>
      </c>
      <c r="D12" s="7">
        <v>0</v>
      </c>
      <c r="E12" s="7">
        <f>SUMIF(Kroger!$E$1:$O$1,E$5,INDEX(Kroger!$E$4:$O$283,MATCH($A$3,Kroger!$C$4:$C$283,0),0))</f>
        <v>0</v>
      </c>
      <c r="F12" s="7">
        <f>SUMIF(Kroger!$E$1:$O$1,F$5,INDEX(Kroger!$E$4:$O$283,MATCH($A$3,Kroger!$C$4:$C$283,0),0))</f>
        <v>3810343.3709137021</v>
      </c>
      <c r="G12" s="7">
        <f>SUMIF(Kroger!$E$1:$O$1,G$5,INDEX(Kroger!$E$4:$O$283,MATCH($A$3,Kroger!$C$4:$C$283,0),0))</f>
        <v>1905171.685456851</v>
      </c>
      <c r="H12" s="7">
        <f>SUMIF(Kroger!$E$1:$O$1,H$5,INDEX(Kroger!$E$4:$O$283,MATCH($A$3,Kroger!$C$4:$C$283,0),0))</f>
        <v>1905171.685456851</v>
      </c>
      <c r="I12" s="7">
        <f>SUMIF(Kroger!$E$1:$O$1,I$5,INDEX(Kroger!$E$4:$O$283,MATCH($A$3,Kroger!$C$4:$C$283,0),0))</f>
        <v>1905171.685456851</v>
      </c>
      <c r="J12" s="7">
        <f>SUMIF(Kroger!$E$1:$O$1,J$5,INDEX(Kroger!$E$4:$O$283,MATCH($A$3,Kroger!$C$4:$C$283,0),0))</f>
        <v>1905171.685456851</v>
      </c>
      <c r="K12" s="7">
        <f>SUMIF(Kroger!$E$1:$O$1,K$5,INDEX(Kroger!$E$4:$O$283,MATCH($A$3,Kroger!$C$4:$C$283,0),0))</f>
        <v>1905171.685456851</v>
      </c>
      <c r="L12" s="7">
        <f>SUMIF(Kroger!$E$1:$O$1,L$5,INDEX(Kroger!$E$4:$O$283,MATCH($A$3,Kroger!$C$4:$C$283,0),0))</f>
        <v>1905171.685456851</v>
      </c>
      <c r="M12" s="7">
        <f>SUMIF(Kroger!$E$1:$O$1,M$5,INDEX(Kroger!$E$4:$O$283,MATCH($A$3,Kroger!$C$4:$C$283,0),0))</f>
        <v>1905171.685456851</v>
      </c>
      <c r="N12" s="7">
        <f>SUMIF(Kroger!$E$1:$O$1,N$5,INDEX(Kroger!$E$4:$O$283,MATCH($A$3,Kroger!$C$4:$C$283,0),0))</f>
        <v>1905171.685456851</v>
      </c>
      <c r="O12" s="7">
        <f>SUMIF(Kroger!$E$1:$O$1,O$5,INDEX(Kroger!$E$4:$O$283,MATCH($A$3,Kroger!$C$4:$C$283,0),0))</f>
        <v>1905171.6856314917</v>
      </c>
      <c r="P12" s="7">
        <f>SUMIF(Kroger!$E$1:$O$1,P$5,INDEX(Kroger!$E$4:$O$283,MATCH($A$3,Kroger!$C$4:$C$283,0),0))</f>
        <v>0</v>
      </c>
      <c r="Q12" s="7">
        <f>SUMIF(Kroger!$E$1:$O$1,Q$5,INDEX(Kroger!$E$4:$O$283,MATCH($A$3,Kroger!$C$4:$C$283,0),0))</f>
        <v>0</v>
      </c>
      <c r="R12" s="7">
        <f>SUMIF(Kroger!$E$1:$O$1,R$5,INDEX(Kroger!$E$4:$O$283,MATCH($A$3,Kroger!$C$4:$C$283,0),0))</f>
        <v>0</v>
      </c>
      <c r="S12" s="7">
        <f>SUMIF(Kroger!$E$1:$O$1,S$5,INDEX(Kroger!$E$4:$O$283,MATCH($A$3,Kroger!$C$4:$C$283,0),0))</f>
        <v>0</v>
      </c>
      <c r="T12" s="7">
        <f>SUMIF(Kroger!$E$1:$O$1,T$5,INDEX(Kroger!$E$4:$O$283,MATCH($A$3,Kroger!$C$4:$C$283,0),0))</f>
        <v>0</v>
      </c>
      <c r="U12" s="7">
        <f>SUMIF(Kroger!$E$1:$O$1,U$5,INDEX(Kroger!$E$4:$O$283,MATCH($A$3,Kroger!$C$4:$C$283,0),0))</f>
        <v>0</v>
      </c>
    </row>
    <row r="13" spans="1:21" x14ac:dyDescent="0.35">
      <c r="A13" s="3" t="s">
        <v>452</v>
      </c>
      <c r="B13" s="7">
        <v>0</v>
      </c>
      <c r="C13" s="7">
        <v>0</v>
      </c>
      <c r="D13" s="7">
        <v>0</v>
      </c>
      <c r="E13" s="7">
        <f>SUMIF('Litigation Costs Fund Payments'!$B$6:$B$12,A3,'Litigation Costs Fund Payments'!$C$6:$C$12)</f>
        <v>18216533.399999999</v>
      </c>
      <c r="F13" s="7">
        <f>SUMIF('Litigation Costs Fund Payments'!$B$6:$B$12,A3,'Litigation Costs Fund Payments'!$D$6:$D$12)</f>
        <v>1495081.41</v>
      </c>
      <c r="G13" s="7">
        <v>0</v>
      </c>
      <c r="H13" s="7">
        <v>0</v>
      </c>
      <c r="I13" s="7">
        <v>0</v>
      </c>
      <c r="J13" s="7">
        <v>0</v>
      </c>
      <c r="K13" s="7">
        <v>0</v>
      </c>
      <c r="L13" s="7">
        <v>0</v>
      </c>
      <c r="M13" s="7">
        <v>0</v>
      </c>
      <c r="N13" s="7">
        <v>0</v>
      </c>
      <c r="O13" s="7">
        <v>0</v>
      </c>
      <c r="P13" s="7">
        <v>0</v>
      </c>
      <c r="Q13" s="7">
        <v>0</v>
      </c>
      <c r="R13" s="7">
        <v>0</v>
      </c>
      <c r="S13" s="7">
        <v>0</v>
      </c>
      <c r="T13" s="7">
        <v>0</v>
      </c>
      <c r="U13" s="7">
        <v>0</v>
      </c>
    </row>
    <row r="14" spans="1:21" x14ac:dyDescent="0.35">
      <c r="A14" s="3" t="s">
        <v>418</v>
      </c>
      <c r="B14" s="7">
        <v>0</v>
      </c>
      <c r="C14" s="7">
        <f>SUMIF(Mallinckrodt!$A$4:$A$16,A3,Mallinckrodt!$C$4:$C$16)</f>
        <v>3325264.8400000003</v>
      </c>
      <c r="D14" s="7">
        <f>SUMIF(Mallinckrodt!$A$4:$A$16,A3,Mallinckrodt!$D$4:$D$16)</f>
        <v>3988954.54</v>
      </c>
      <c r="E14" s="7">
        <v>0</v>
      </c>
      <c r="F14" s="7">
        <v>0</v>
      </c>
      <c r="G14" s="7">
        <v>0</v>
      </c>
      <c r="H14" s="7">
        <v>0</v>
      </c>
      <c r="I14" s="7">
        <v>0</v>
      </c>
      <c r="J14" s="7">
        <v>0</v>
      </c>
      <c r="K14" s="7">
        <v>0</v>
      </c>
      <c r="L14" s="7">
        <v>0</v>
      </c>
      <c r="M14" s="7">
        <v>0</v>
      </c>
      <c r="N14" s="7">
        <v>0</v>
      </c>
      <c r="O14" s="7">
        <v>0</v>
      </c>
      <c r="P14" s="7">
        <v>0</v>
      </c>
      <c r="Q14" s="7">
        <v>0</v>
      </c>
      <c r="R14" s="7">
        <v>0</v>
      </c>
      <c r="S14" s="7">
        <v>0</v>
      </c>
      <c r="T14" s="7">
        <v>0</v>
      </c>
      <c r="U14" s="7">
        <v>0</v>
      </c>
    </row>
    <row r="15" spans="1:21" x14ac:dyDescent="0.35">
      <c r="A15" s="3" t="s">
        <v>419</v>
      </c>
      <c r="B15" s="7">
        <v>0</v>
      </c>
      <c r="C15" s="7">
        <v>0</v>
      </c>
      <c r="D15" s="7">
        <f>SUMIF(Meijer!$B$4:$B$16,$A$3,Meijer!$C$4:$C$16)</f>
        <v>0</v>
      </c>
      <c r="E15" s="7">
        <v>0</v>
      </c>
      <c r="F15" s="7">
        <v>0</v>
      </c>
      <c r="G15" s="7">
        <v>0</v>
      </c>
      <c r="H15" s="7">
        <v>0</v>
      </c>
      <c r="I15" s="7">
        <v>0</v>
      </c>
      <c r="J15" s="7">
        <v>0</v>
      </c>
      <c r="K15" s="7">
        <v>0</v>
      </c>
      <c r="L15" s="7">
        <v>0</v>
      </c>
      <c r="M15" s="7">
        <v>0</v>
      </c>
      <c r="N15" s="7">
        <v>0</v>
      </c>
      <c r="O15" s="7">
        <v>0</v>
      </c>
      <c r="P15" s="7">
        <v>0</v>
      </c>
      <c r="Q15" s="7">
        <v>0</v>
      </c>
      <c r="R15" s="7">
        <v>0</v>
      </c>
      <c r="S15" s="7">
        <v>0</v>
      </c>
      <c r="T15" s="7">
        <v>0</v>
      </c>
      <c r="U15" s="7">
        <v>0</v>
      </c>
    </row>
    <row r="16" spans="1:21" x14ac:dyDescent="0.35">
      <c r="A16" s="3" t="s">
        <v>432</v>
      </c>
      <c r="B16" s="7">
        <v>0</v>
      </c>
      <c r="C16" s="7">
        <v>0</v>
      </c>
      <c r="D16" s="7">
        <v>0</v>
      </c>
      <c r="E16" s="7">
        <f>SUMIF(Publicis!$B$4,A3,Publicis!$C$4)</f>
        <v>11673940.6</v>
      </c>
      <c r="F16" s="7">
        <v>0</v>
      </c>
      <c r="G16" s="7">
        <v>0</v>
      </c>
      <c r="H16" s="7">
        <v>0</v>
      </c>
      <c r="I16" s="7">
        <v>0</v>
      </c>
      <c r="J16" s="7">
        <v>0</v>
      </c>
      <c r="K16" s="7">
        <v>0</v>
      </c>
      <c r="L16" s="7">
        <v>0</v>
      </c>
      <c r="M16" s="7">
        <v>0</v>
      </c>
      <c r="N16" s="7">
        <v>0</v>
      </c>
      <c r="O16" s="7">
        <v>0</v>
      </c>
      <c r="P16" s="7">
        <v>0</v>
      </c>
      <c r="Q16" s="7">
        <v>0</v>
      </c>
      <c r="R16" s="7">
        <v>0</v>
      </c>
      <c r="S16" s="7">
        <v>0</v>
      </c>
      <c r="T16" s="7">
        <v>0</v>
      </c>
      <c r="U16" s="7">
        <v>0</v>
      </c>
    </row>
    <row r="17" spans="1:21" x14ac:dyDescent="0.35">
      <c r="A17" s="3" t="s">
        <v>477</v>
      </c>
      <c r="B17" s="26" t="str">
        <f>IFERROR(SUMIF('Special Circumstance Fund'!$C$4:$J$4,B$5,INDEX('Special Circumstance Fund'!$C$10:$J$17,MATCH($A$3,'Special Circumstance Fund'!$B$10:$B$17,0),0)),"$0.00")</f>
        <v>$0.00</v>
      </c>
      <c r="C17" s="26" t="str">
        <f>IFERROR(SUMIF('Special Circumstance Fund'!$C$4:$J$4,C$5,INDEX('Special Circumstance Fund'!$C$10:$J$17,MATCH($A$3,'Special Circumstance Fund'!$B$10:$B$17,0),0)),"$0.00")</f>
        <v>$0.00</v>
      </c>
      <c r="D17" s="26" t="str">
        <f>IFERROR(SUMIF('Special Circumstance Fund'!$C$4:$J$4,D$5,INDEX('Special Circumstance Fund'!$C$10:$J$17,MATCH($A$3,'Special Circumstance Fund'!$B$10:$B$17,0),0)),"$0.00")</f>
        <v>$0.00</v>
      </c>
      <c r="E17" s="26" t="str">
        <f>IFERROR(SUMIF('Special Circumstance Fund'!$C$4:$J$4,E$5,INDEX('Special Circumstance Fund'!$C$10:$J$17,MATCH($A$3,'Special Circumstance Fund'!$B$10:$B$17,0),0)),"$0.00")</f>
        <v>$0.00</v>
      </c>
      <c r="F17" s="26" t="str">
        <f>IFERROR(SUMIF('Special Circumstance Fund'!$C$4:$J$4,F$5,INDEX('Special Circumstance Fund'!$C$10:$J$17,MATCH($A$3,'Special Circumstance Fund'!$B$10:$B$17,0),0)),"$0.00")</f>
        <v>$0.00</v>
      </c>
      <c r="G17" s="26" t="str">
        <f>IFERROR(SUMIF('Special Circumstance Fund'!$C$4:$J$4,G$5,INDEX('Special Circumstance Fund'!$C$10:$J$17,MATCH($A$3,'Special Circumstance Fund'!$B$10:$B$17,0),0)),"$0.00")</f>
        <v>$0.00</v>
      </c>
      <c r="H17" s="26" t="str">
        <f>IFERROR(SUMIF('Special Circumstance Fund'!$C$4:$J$4,H$5,INDEX('Special Circumstance Fund'!$C$10:$J$17,MATCH($A$3,'Special Circumstance Fund'!$B$10:$B$17,0),0)),"$0.00")</f>
        <v>$0.00</v>
      </c>
      <c r="I17" s="26" t="str">
        <f>IFERROR(SUMIF('Special Circumstance Fund'!$C$4:$J$4,I$5,INDEX('Special Circumstance Fund'!$C$10:$J$17,MATCH($A$3,'Special Circumstance Fund'!$B$10:$B$17,0),0)),"$0.00")</f>
        <v>$0.00</v>
      </c>
      <c r="J17" s="26" t="str">
        <f>IFERROR(SUMIF('Special Circumstance Fund'!$C$4:$J$4,J$5,INDEX('Special Circumstance Fund'!$C$10:$J$17,MATCH($A$3,'Special Circumstance Fund'!$B$10:$B$17,0),0)),"$0.00")</f>
        <v>$0.00</v>
      </c>
      <c r="K17" s="26" t="str">
        <f>IFERROR(SUMIF('Special Circumstance Fund'!$C$4:$J$4,K$5,INDEX('Special Circumstance Fund'!$C$10:$J$17,MATCH($A$3,'Special Circumstance Fund'!$B$10:$B$17,0),0)),"$0.00")</f>
        <v>$0.00</v>
      </c>
      <c r="L17" s="26" t="str">
        <f>IFERROR(SUMIF('Special Circumstance Fund'!$C$4:$J$4,L$5,INDEX('Special Circumstance Fund'!$C$10:$J$17,MATCH($A$3,'Special Circumstance Fund'!$B$10:$B$17,0),0)),"$0.00")</f>
        <v>$0.00</v>
      </c>
      <c r="M17" s="26" t="str">
        <f>IFERROR(SUMIF('Special Circumstance Fund'!$C$4:$J$4,M$5,INDEX('Special Circumstance Fund'!$C$10:$J$17,MATCH($A$3,'Special Circumstance Fund'!$B$10:$B$17,0),0)),"$0.00")</f>
        <v>$0.00</v>
      </c>
      <c r="N17" s="26" t="str">
        <f>IFERROR(SUMIF('Special Circumstance Fund'!$C$4:$J$4,N$5,INDEX('Special Circumstance Fund'!$C$10:$J$17,MATCH($A$3,'Special Circumstance Fund'!$B$10:$B$17,0),0)),"$0.00")</f>
        <v>$0.00</v>
      </c>
      <c r="O17" s="26" t="str">
        <f>IFERROR(SUMIF('Special Circumstance Fund'!$C$4:$J$4,O$5,INDEX('Special Circumstance Fund'!$C$10:$J$17,MATCH($A$3,'Special Circumstance Fund'!$B$10:$B$17,0),0)),"$0.00")</f>
        <v>$0.00</v>
      </c>
      <c r="P17" s="26" t="str">
        <f>IFERROR(SUMIF('Special Circumstance Fund'!$C$4:$J$4,P$5,INDEX('Special Circumstance Fund'!$C$10:$J$17,MATCH($A$3,'Special Circumstance Fund'!$B$10:$B$17,0),0)),"$0.00")</f>
        <v>$0.00</v>
      </c>
      <c r="Q17" s="26" t="str">
        <f>IFERROR(SUMIF('Special Circumstance Fund'!$C$4:$J$4,Q$5,INDEX('Special Circumstance Fund'!$C$10:$J$17,MATCH($A$3,'Special Circumstance Fund'!$B$10:$B$17,0),0)),"$0.00")</f>
        <v>$0.00</v>
      </c>
      <c r="R17" s="26" t="str">
        <f>IFERROR(SUMIF('Special Circumstance Fund'!$C$4:$J$4,R$5,INDEX('Special Circumstance Fund'!$C$10:$J$17,MATCH($A$3,'Special Circumstance Fund'!$B$10:$B$17,0),0)),"$0.00")</f>
        <v>$0.00</v>
      </c>
      <c r="S17" s="26" t="str">
        <f>IFERROR(SUMIF('Special Circumstance Fund'!$C$4:$J$4,S$5,INDEX('Special Circumstance Fund'!$C$10:$J$17,MATCH($A$3,'Special Circumstance Fund'!$B$10:$B$17,0),0)),"$0.00")</f>
        <v>$0.00</v>
      </c>
      <c r="T17" s="26" t="str">
        <f>IFERROR(SUMIF('Special Circumstance Fund'!$C$4:$J$4,T$5,INDEX('Special Circumstance Fund'!$C$10:$J$17,MATCH($A$3,'Special Circumstance Fund'!$B$10:$B$17,0),0)),"$0.00")</f>
        <v>$0.00</v>
      </c>
      <c r="U17" s="26" t="str">
        <f>IFERROR(SUMIF('Special Circumstance Fund'!$C$4:$J$4,U$5,INDEX('Special Circumstance Fund'!$C$10:$J$17,MATCH($A$3,'Special Circumstance Fund'!$B$10:$B$17,0),0)),"$0.00")</f>
        <v>$0.00</v>
      </c>
    </row>
    <row r="18" spans="1:21" x14ac:dyDescent="0.35">
      <c r="A18" s="3" t="s">
        <v>8</v>
      </c>
      <c r="B18" s="7">
        <f>SUMIF(Teva!$E$1:$Q$1,B$5,INDEX(Teva!$E$4:$Q$283,MATCH($A$3,Teva!$C$4:$C$283,0),0))</f>
        <v>0</v>
      </c>
      <c r="C18" s="7">
        <f>SUMIF(Teva!$E$1:$Q$1,C$5,INDEX(Teva!$E$4:$Q$283,MATCH($A$3,Teva!$C$4:$C$283,0),0))</f>
        <v>0</v>
      </c>
      <c r="D18" s="7">
        <f>SUMIF(Teva!$E$1:$Q$1,D$5,INDEX(Teva!$E$4:$Q$283,MATCH($A$3,Teva!$C$4:$C$283,0),0))</f>
        <v>0</v>
      </c>
      <c r="E18" s="7">
        <f>SUMIF(Teva!$E$1:$Q$1,E$5,INDEX(Teva!$E$4:$Q$283,MATCH($A$3,Teva!$C$4:$C$283,0),0))</f>
        <v>9482967.129999999</v>
      </c>
      <c r="F18" s="7">
        <f>SUMIF(Teva!$E$1:$Q$1,F$5,INDEX(Teva!$E$4:$Q$283,MATCH($A$3,Teva!$C$4:$C$283,0),0))</f>
        <v>4689900.7509621112</v>
      </c>
      <c r="G18" s="7">
        <f>SUMIF(Teva!$E$1:$Q$1,G$5,INDEX(Teva!$E$4:$Q$283,MATCH($A$3,Teva!$C$4:$C$283,0),0))</f>
        <v>4689900.7509621121</v>
      </c>
      <c r="H18" s="7">
        <f>SUMIF(Teva!$E$1:$Q$1,H$5,INDEX(Teva!$E$4:$Q$283,MATCH($A$3,Teva!$C$4:$C$283,0),0))</f>
        <v>4689900.7509621121</v>
      </c>
      <c r="I18" s="7">
        <f>SUMIF(Teva!$E$1:$Q$1,I$5,INDEX(Teva!$E$4:$Q$283,MATCH($A$3,Teva!$C$4:$C$283,0),0))</f>
        <v>4689900.7509621121</v>
      </c>
      <c r="J18" s="7">
        <f>SUMIF(Teva!$E$1:$Q$1,J$5,INDEX(Teva!$E$4:$Q$283,MATCH($A$3,Teva!$C$4:$C$283,0),0))</f>
        <v>4689900.7507553454</v>
      </c>
      <c r="K18" s="7">
        <f>SUMIF(Teva!$E$1:$Q$1,K$5,INDEX(Teva!$E$4:$Q$283,MATCH($A$3,Teva!$C$4:$C$283,0),0))</f>
        <v>4689900.7507553454</v>
      </c>
      <c r="L18" s="7">
        <f>SUMIF(Teva!$E$1:$Q$1,L$5,INDEX(Teva!$E$4:$Q$283,MATCH($A$3,Teva!$C$4:$C$283,0),0))</f>
        <v>4689900.7507553454</v>
      </c>
      <c r="M18" s="7">
        <f>SUMIF(Teva!$E$1:$Q$1,M$5,INDEX(Teva!$E$4:$Q$283,MATCH($A$3,Teva!$C$4:$C$283,0),0))</f>
        <v>4689900.7507553454</v>
      </c>
      <c r="N18" s="7">
        <f>SUMIF(Teva!$E$1:$Q$1,N$5,INDEX(Teva!$E$4:$Q$283,MATCH($A$3,Teva!$C$4:$C$283,0),0))</f>
        <v>4689900.7507553454</v>
      </c>
      <c r="O18" s="7">
        <f>SUMIF(Teva!$E$1:$Q$1,O$5,INDEX(Teva!$E$4:$Q$283,MATCH($A$3,Teva!$C$4:$C$283,0),0))</f>
        <v>4689900.7507553454</v>
      </c>
      <c r="P18" s="7">
        <f>SUMIF(Teva!$E$1:$Q$1,P$5,INDEX(Teva!$E$4:$Q$283,MATCH($A$3,Teva!$C$4:$C$283,0),0))</f>
        <v>4689942.8277092725</v>
      </c>
      <c r="Q18" s="7">
        <f>SUMIF(Teva!$E$1:$Q$1,Q$5,INDEX(Teva!$E$4:$Q$283,MATCH($A$3,Teva!$C$4:$C$283,0),0))</f>
        <v>0</v>
      </c>
      <c r="R18" s="7">
        <f>SUMIF(Teva!$E$1:$Q$1,R$5,INDEX(Teva!$E$4:$Q$283,MATCH($A$3,Teva!$C$4:$C$283,0),0))</f>
        <v>0</v>
      </c>
      <c r="S18" s="7">
        <f>SUMIF(Teva!$E$1:$Q$1,S$5,INDEX(Teva!$E$4:$Q$283,MATCH($A$3,Teva!$C$4:$C$283,0),0))</f>
        <v>0</v>
      </c>
      <c r="T18" s="7">
        <f>SUMIF(Teva!$E$1:$Q$1,T$5,INDEX(Teva!$E$4:$Q$283,MATCH($A$3,Teva!$C$4:$C$283,0),0))</f>
        <v>0</v>
      </c>
      <c r="U18" s="7">
        <f>SUMIF(Teva!$E$1:$Q$1,U$5,INDEX(Teva!$E$4:$Q$283,MATCH($A$3,Teva!$C$4:$C$283,0),0))</f>
        <v>0</v>
      </c>
    </row>
    <row r="19" spans="1:21" x14ac:dyDescent="0.35">
      <c r="A19" s="3" t="s">
        <v>463</v>
      </c>
      <c r="B19" s="7">
        <f>SUMIF('Walgreens National'!$E$1:$T$1,B$5,INDEX('Walgreens National'!$E$4:$T$283,MATCH($A$3,'Walgreens National'!$C$4:$C$283,0),0))</f>
        <v>0</v>
      </c>
      <c r="C19" s="7">
        <f>SUMIF('Walgreens National'!$E$1:$T$1,C$5,INDEX('Walgreens National'!$E$4:$T$283,MATCH($A$3,'Walgreens National'!$C$4:$C$283,0),0))</f>
        <v>0</v>
      </c>
      <c r="D19" s="7">
        <f>SUMIF('Walgreens National'!$E$1:$T$1,D$5,INDEX('Walgreens National'!$E$4:$T$283,MATCH($A$3,'Walgreens National'!$C$4:$C$283,0),0))</f>
        <v>0</v>
      </c>
      <c r="E19" s="7">
        <f>SUMIF('Walgreens National'!$E$1:$T$1,E$5,INDEX('Walgreens National'!$E$4:$T$283,MATCH($A$3,'Walgreens National'!$C$4:$C$283,0),0))</f>
        <v>11116973.437777188</v>
      </c>
      <c r="F19" s="7">
        <f>SUMIF('Walgreens National'!$E$1:$T$1,F$5,INDEX('Walgreens National'!$E$4:$T$283,MATCH($A$3,'Walgreens National'!$C$4:$C$283,0),0))</f>
        <v>4465652.9224340841</v>
      </c>
      <c r="G19" s="7">
        <f>SUMIF('Walgreens National'!$E$1:$T$1,G$5,INDEX('Walgreens National'!$E$4:$T$283,MATCH($A$3,'Walgreens National'!$C$4:$C$283,0),0))</f>
        <v>4465652.9224340841</v>
      </c>
      <c r="H19" s="7">
        <f>SUMIF('Walgreens National'!$E$1:$T$1,H$5,INDEX('Walgreens National'!$E$4:$T$283,MATCH($A$3,'Walgreens National'!$C$4:$C$283,0),0))</f>
        <v>4465652.9224340841</v>
      </c>
      <c r="I19" s="7">
        <f>SUMIF('Walgreens National'!$E$1:$T$1,I$5,INDEX('Walgreens National'!$E$4:$T$283,MATCH($A$3,'Walgreens National'!$C$4:$C$283,0),0))</f>
        <v>4465652.9224340841</v>
      </c>
      <c r="J19" s="7">
        <f>SUMIF('Walgreens National'!$E$1:$T$1,J$5,INDEX('Walgreens National'!$E$4:$T$283,MATCH($A$3,'Walgreens National'!$C$4:$C$283,0),0))</f>
        <v>4467775.235620277</v>
      </c>
      <c r="K19" s="7">
        <f>SUMIF('Walgreens National'!$E$1:$T$1,K$5,INDEX('Walgreens National'!$E$4:$T$283,MATCH($A$3,'Walgreens National'!$C$4:$C$283,0),0))</f>
        <v>6765455.9460431887</v>
      </c>
      <c r="L19" s="7">
        <f>SUMIF('Walgreens National'!$E$1:$T$1,L$5,INDEX('Walgreens National'!$E$4:$T$283,MATCH($A$3,'Walgreens National'!$C$4:$C$283,0),0))</f>
        <v>6765455.9460431887</v>
      </c>
      <c r="M19" s="7">
        <f>SUMIF('Walgreens National'!$E$1:$T$1,M$5,INDEX('Walgreens National'!$E$4:$T$283,MATCH($A$3,'Walgreens National'!$C$4:$C$283,0),0))</f>
        <v>6765455.9460431887</v>
      </c>
      <c r="N19" s="7">
        <f>SUMIF('Walgreens National'!$E$1:$T$1,N$5,INDEX('Walgreens National'!$E$4:$T$283,MATCH($A$3,'Walgreens National'!$C$4:$C$283,0),0))</f>
        <v>6765455.9460431887</v>
      </c>
      <c r="O19" s="7">
        <f>SUMIF('Walgreens National'!$E$1:$T$1,O$5,INDEX('Walgreens National'!$E$4:$T$283,MATCH($A$3,'Walgreens National'!$C$4:$C$283,0),0))</f>
        <v>6765455.9460431887</v>
      </c>
      <c r="P19" s="7">
        <f>SUMIF('Walgreens National'!$E$1:$T$1,P$5,INDEX('Walgreens National'!$E$4:$T$283,MATCH($A$3,'Walgreens National'!$C$4:$C$283,0),0))</f>
        <v>6765455.9460431887</v>
      </c>
      <c r="Q19" s="7">
        <f>SUMIF('Walgreens National'!$E$1:$T$1,Q$5,INDEX('Walgreens National'!$E$4:$T$283,MATCH($A$3,'Walgreens National'!$C$4:$C$283,0),0))</f>
        <v>13530911.892086377</v>
      </c>
      <c r="R19" s="7">
        <f>SUMIF('Walgreens National'!$E$1:$T$1,R$5,INDEX('Walgreens National'!$E$4:$T$283,MATCH($A$3,'Walgreens National'!$C$4:$C$283,0),0))</f>
        <v>0</v>
      </c>
      <c r="S19" s="7">
        <f>SUMIF('Walgreens National'!$E$1:$T$1,S$5,INDEX('Walgreens National'!$E$4:$T$283,MATCH($A$3,'Walgreens National'!$C$4:$C$283,0),0))</f>
        <v>0</v>
      </c>
      <c r="T19" s="7">
        <f>SUMIF('Walgreens National'!$E$1:$T$1,T$5,INDEX('Walgreens National'!$E$4:$T$283,MATCH($A$3,'Walgreens National'!$C$4:$C$283,0),0))</f>
        <v>0</v>
      </c>
      <c r="U19" s="7">
        <f>SUMIF('Walgreens National'!$E$1:$T$1,U$5,INDEX('Walgreens National'!$E$4:$T$283,MATCH($A$3,'Walgreens National'!$C$4:$C$283,0),0))</f>
        <v>0</v>
      </c>
    </row>
    <row r="20" spans="1:21" x14ac:dyDescent="0.35">
      <c r="A20" s="3" t="s">
        <v>461</v>
      </c>
      <c r="B20" s="26">
        <f>IFERROR(SUMIF('Walgreens Michigan'!$C$4:$T$4,B$5,INDEX('Walgreens Michigan'!$C$8:$T$8,MATCH($A$3,'Walgreens Michigan'!$B$8:$B$8,0),0)),"$0.00")</f>
        <v>0</v>
      </c>
      <c r="C20" s="26">
        <f>IFERROR(SUMIF('Walgreens Michigan'!$C$4:$T$4,C$5,INDEX('Walgreens Michigan'!$C$8:$T$8,MATCH($A$3,'Walgreens Michigan'!$B$8:$B$8,0),0)),"$0.00")</f>
        <v>0</v>
      </c>
      <c r="D20" s="26">
        <f>IFERROR(SUMIF('Walgreens Michigan'!$C$4:$T$4,D$5,INDEX('Walgreens Michigan'!$C$8:$T$8,MATCH($A$3,'Walgreens Michigan'!$B$8:$B$8,0),0)),"$0.00")</f>
        <v>429476.75</v>
      </c>
      <c r="E20" s="26">
        <f>IFERROR(SUMIF('Walgreens Michigan'!$C$4:$T$4,E$5,INDEX('Walgreens Michigan'!$C$8:$T$8,MATCH($A$3,'Walgreens Michigan'!$B$8:$B$8,0),0)),"$0.00")</f>
        <v>3292977.8800000008</v>
      </c>
      <c r="F20" s="26">
        <f>IFERROR(SUMIF('Walgreens Michigan'!$C$4:$T$4,F$5,INDEX('Walgreens Michigan'!$C$8:$T$8,MATCH($A$3,'Walgreens Michigan'!$B$8:$B$8,0),0)),"$0.00")</f>
        <v>3292977.8800000008</v>
      </c>
      <c r="G20" s="26">
        <f>IFERROR(SUMIF('Walgreens Michigan'!$C$4:$T$4,G$5,INDEX('Walgreens Michigan'!$C$8:$T$8,MATCH($A$3,'Walgreens Michigan'!$B$8:$B$8,0),0)),"$0.00")</f>
        <v>10000000</v>
      </c>
      <c r="H20" s="26">
        <f>IFERROR(SUMIF('Walgreens Michigan'!$C$4:$T$4,H$5,INDEX('Walgreens Michigan'!$C$8:$T$8,MATCH($A$3,'Walgreens Michigan'!$B$8:$B$8,0),0)),"$0.00")</f>
        <v>10000000</v>
      </c>
      <c r="I20" s="26">
        <f>IFERROR(SUMIF('Walgreens Michigan'!$C$4:$T$4,I$5,INDEX('Walgreens Michigan'!$C$8:$T$8,MATCH($A$3,'Walgreens Michigan'!$B$8:$B$8,0),0)),"$0.00")</f>
        <v>5000000</v>
      </c>
      <c r="J20" s="26">
        <f>IFERROR(SUMIF('Walgreens Michigan'!$C$4:$T$4,J$5,INDEX('Walgreens Michigan'!$C$8:$T$8,MATCH($A$3,'Walgreens Michigan'!$B$8:$B$8,0),0)),"$0.00")</f>
        <v>5000000</v>
      </c>
      <c r="K20" s="26">
        <f>IFERROR(SUMIF('Walgreens Michigan'!$C$4:$T$4,K$5,INDEX('Walgreens Michigan'!$C$8:$T$8,MATCH($A$3,'Walgreens Michigan'!$B$8:$B$8,0),0)),"$0.00")</f>
        <v>5000000</v>
      </c>
      <c r="L20" s="26">
        <f>IFERROR(SUMIF('Walgreens Michigan'!$C$4:$T$4,L$5,INDEX('Walgreens Michigan'!$C$8:$T$8,MATCH($A$3,'Walgreens Michigan'!$B$8:$B$8,0),0)),"$0.00")</f>
        <v>5000000</v>
      </c>
      <c r="M20" s="26">
        <f>IFERROR(SUMIF('Walgreens Michigan'!$C$4:$T$4,M$5,INDEX('Walgreens Michigan'!$C$8:$T$8,MATCH($A$3,'Walgreens Michigan'!$B$8:$B$8,0),0)),"$0.00")</f>
        <v>5000000</v>
      </c>
      <c r="N20" s="26">
        <f>IFERROR(SUMIF('Walgreens Michigan'!$C$4:$T$4,N$5,INDEX('Walgreens Michigan'!$C$8:$T$8,MATCH($A$3,'Walgreens Michigan'!$B$8:$B$8,0),0)),"$0.00")</f>
        <v>5000000</v>
      </c>
      <c r="O20" s="26">
        <f>IFERROR(SUMIF('Walgreens Michigan'!$C$4:$T$4,O$5,INDEX('Walgreens Michigan'!$C$8:$T$8,MATCH($A$3,'Walgreens Michigan'!$B$8:$B$8,0),0)),"$0.00")</f>
        <v>5000000</v>
      </c>
      <c r="P20" s="26">
        <f>IFERROR(SUMIF('Walgreens Michigan'!$C$4:$T$4,P$5,INDEX('Walgreens Michigan'!$C$8:$T$8,MATCH($A$3,'Walgreens Michigan'!$B$8:$B$8,0),0)),"$0.00")</f>
        <v>5000000</v>
      </c>
      <c r="Q20" s="26">
        <f>IFERROR(SUMIF('Walgreens Michigan'!$C$4:$T$4,Q$5,INDEX('Walgreens Michigan'!$C$8:$T$8,MATCH($A$3,'Walgreens Michigan'!$B$8:$B$8,0),0)),"$0.00")</f>
        <v>10000000</v>
      </c>
      <c r="R20" s="26">
        <f>IFERROR(SUMIF('Walgreens Michigan'!$C$4:$T$4,R$5,INDEX('Walgreens Michigan'!$C$8:$T$8,MATCH($A$3,'Walgreens Michigan'!$B$8:$B$8,0),0)),"$0.00")</f>
        <v>10000000</v>
      </c>
      <c r="S20" s="26">
        <f>IFERROR(SUMIF('Walgreens Michigan'!$C$4:$T$4,S$5,INDEX('Walgreens Michigan'!$C$8:$T$8,MATCH($A$3,'Walgreens Michigan'!$B$8:$B$8,0),0)),"$0.00")</f>
        <v>10000000</v>
      </c>
      <c r="T20" s="26">
        <f>IFERROR(SUMIF('Walgreens Michigan'!$C$4:$T$4,T$5,INDEX('Walgreens Michigan'!$C$8:$T$8,MATCH($A$3,'Walgreens Michigan'!$B$8:$B$8,0),0)),"$0.00")</f>
        <v>10000000</v>
      </c>
      <c r="U20" s="26">
        <f>IFERROR(SUMIF('Walgreens Michigan'!$C$4:$T$4,U$5,INDEX('Walgreens Michigan'!$C$8:$T$8,MATCH($A$3,'Walgreens Michigan'!$B$8:$B$8,0),0)),"$0.00")</f>
        <v>9000000</v>
      </c>
    </row>
    <row r="21" spans="1:21" x14ac:dyDescent="0.35">
      <c r="A21" s="3" t="s">
        <v>11</v>
      </c>
      <c r="B21" s="7">
        <f>SUMIF(Walmart!$E$1:$F$1,B$5,INDEX(Walmart!$E$4:$F$283,MATCH($A$3,Walmart!$C$4:$C$283,0),0))</f>
        <v>0</v>
      </c>
      <c r="C21" s="7">
        <f>SUMIF(Walmart!$E$1:$F$1,C$5,INDEX(Walmart!$E$4:$F$283,MATCH($A$3,Walmart!$C$4:$C$283,0),0))</f>
        <v>0</v>
      </c>
      <c r="D21" s="7">
        <f>SUMIF(Walmart!$E$1:$F$1,D$5,INDEX(Walmart!$E$4:$F$283,MATCH($A$3,Walmart!$C$4:$C$283,0),0))</f>
        <v>0</v>
      </c>
      <c r="E21" s="7">
        <f>SUMIF(Walmart!$E$1:$F$1,E$5,INDEX(Walmart!$E$4:$F$283,MATCH($A$3,Walmart!$C$4:$C$283,0),0))</f>
        <v>45620683.180000052</v>
      </c>
      <c r="F21" s="7">
        <f>SUMIF(Walmart!$E$1:$F$1,F$5,INDEX(Walmart!$E$4:$F$283,MATCH($A$3,Walmart!$C$4:$C$283,0),0))</f>
        <v>0</v>
      </c>
      <c r="G21" s="7">
        <f>SUMIF(Walmart!$E$1:$F$1,G$5,INDEX(Walmart!$E$4:$F$283,MATCH($A$3,Walmart!$C$4:$C$283,0),0))</f>
        <v>0</v>
      </c>
      <c r="H21" s="7">
        <f>SUMIF(Walmart!$E$1:$F$1,H$5,INDEX(Walmart!$E$4:$F$283,MATCH($A$3,Walmart!$C$4:$C$283,0),0))</f>
        <v>0</v>
      </c>
      <c r="I21" s="7">
        <f>SUMIF(Walmart!$E$1:$F$1,I$5,INDEX(Walmart!$E$4:$F$283,MATCH($A$3,Walmart!$C$4:$C$283,0),0))</f>
        <v>0</v>
      </c>
      <c r="J21" s="7">
        <f>SUMIF(Walmart!$E$1:$F$1,J$5,INDEX(Walmart!$E$4:$F$283,MATCH($A$3,Walmart!$C$4:$C$283,0),0))</f>
        <v>0</v>
      </c>
      <c r="K21" s="7">
        <f>SUMIF(Walmart!$E$1:$F$1,K$5,INDEX(Walmart!$E$4:$F$283,MATCH($A$3,Walmart!$C$4:$C$283,0),0))</f>
        <v>0</v>
      </c>
      <c r="L21" s="7">
        <f>SUMIF(Walmart!$E$1:$F$1,L$5,INDEX(Walmart!$E$4:$F$283,MATCH($A$3,Walmart!$C$4:$C$283,0),0))</f>
        <v>0</v>
      </c>
      <c r="M21" s="7">
        <f>SUMIF(Walmart!$E$1:$F$1,M$5,INDEX(Walmart!$E$4:$F$283,MATCH($A$3,Walmart!$C$4:$C$283,0),0))</f>
        <v>0</v>
      </c>
      <c r="N21" s="7">
        <f>SUMIF(Walmart!$E$1:$F$1,N$5,INDEX(Walmart!$E$4:$F$283,MATCH($A$3,Walmart!$C$4:$C$283,0),0))</f>
        <v>0</v>
      </c>
      <c r="O21" s="7">
        <f>SUMIF(Walmart!$E$1:$F$1,O$5,INDEX(Walmart!$E$4:$F$283,MATCH($A$3,Walmart!$C$4:$C$283,0),0))</f>
        <v>0</v>
      </c>
      <c r="P21" s="7">
        <f>SUMIF(Walmart!$E$1:$F$1,P$5,INDEX(Walmart!$E$4:$F$283,MATCH($A$3,Walmart!$C$4:$C$283,0),0))</f>
        <v>0</v>
      </c>
      <c r="Q21" s="7">
        <f>SUMIF(Walmart!$E$1:$F$1,Q$5,INDEX(Walmart!$E$4:$F$283,MATCH($A$3,Walmart!$C$4:$C$283,0),0))</f>
        <v>0</v>
      </c>
      <c r="R21" s="7">
        <f>SUMIF(Walmart!$E$1:$F$1,R$5,INDEX(Walmart!$E$4:$F$283,MATCH($A$3,Walmart!$C$4:$C$283,0),0))</f>
        <v>0</v>
      </c>
      <c r="S21" s="7">
        <f>SUMIF(Walmart!$E$1:$F$1,S$5,INDEX(Walmart!$E$4:$F$283,MATCH($A$3,Walmart!$C$4:$C$283,0),0))</f>
        <v>0</v>
      </c>
      <c r="T21" s="7">
        <f>SUMIF(Walmart!$E$1:$F$1,T$5,INDEX(Walmart!$E$4:$F$283,MATCH($A$3,Walmart!$C$4:$C$283,0),0))</f>
        <v>0</v>
      </c>
      <c r="U21" s="7">
        <f>SUMIF(Walmart!$E$1:$F$1,U$5,INDEX(Walmart!$E$4:$F$283,MATCH($A$3,Walmart!$C$4:$C$283,0),0))</f>
        <v>0</v>
      </c>
    </row>
    <row r="23" spans="1:21" x14ac:dyDescent="0.35">
      <c r="A23" s="3" t="s">
        <v>305</v>
      </c>
      <c r="B23" s="7">
        <f>SUM(B6:B21)</f>
        <v>16210202.210000001</v>
      </c>
      <c r="C23" s="7">
        <f t="shared" ref="C23:U23" si="0">SUM(C6:C21)</f>
        <v>4162018.2700000005</v>
      </c>
      <c r="D23" s="7">
        <f t="shared" si="0"/>
        <v>102857340.86574948</v>
      </c>
      <c r="E23" s="7">
        <f t="shared" si="0"/>
        <v>158816098.81180823</v>
      </c>
      <c r="F23" s="7">
        <f t="shared" si="0"/>
        <v>50704568.559061132</v>
      </c>
      <c r="G23" s="7">
        <f t="shared" si="0"/>
        <v>55897405.905788876</v>
      </c>
      <c r="H23" s="7">
        <f t="shared" si="0"/>
        <v>44918704.371569067</v>
      </c>
      <c r="I23" s="7">
        <f t="shared" si="0"/>
        <v>54021112.159068771</v>
      </c>
      <c r="J23" s="7">
        <f t="shared" si="0"/>
        <v>54307966.630376294</v>
      </c>
      <c r="K23" s="7">
        <f t="shared" si="0"/>
        <v>50957679.282914296</v>
      </c>
      <c r="L23" s="7">
        <f t="shared" si="0"/>
        <v>47625345.306250013</v>
      </c>
      <c r="M23" s="7">
        <f t="shared" si="0"/>
        <v>44158716.978867359</v>
      </c>
      <c r="N23" s="7">
        <f t="shared" si="0"/>
        <v>35895376.295871913</v>
      </c>
      <c r="O23" s="7">
        <f t="shared" si="0"/>
        <v>35895376.296046555</v>
      </c>
      <c r="P23" s="7">
        <f t="shared" si="0"/>
        <v>33990246.687368989</v>
      </c>
      <c r="Q23" s="7">
        <f t="shared" si="0"/>
        <v>41065759.80570291</v>
      </c>
      <c r="R23" s="7">
        <f t="shared" si="0"/>
        <v>27534847.913616531</v>
      </c>
      <c r="S23" s="7">
        <f t="shared" si="0"/>
        <v>27534847.913616531</v>
      </c>
      <c r="T23" s="7">
        <f t="shared" si="0"/>
        <v>10000000</v>
      </c>
      <c r="U23" s="7">
        <f t="shared" si="0"/>
        <v>9000000</v>
      </c>
    </row>
    <row r="25" spans="1:21" ht="58.5" customHeight="1" x14ac:dyDescent="0.35">
      <c r="A25" s="109" t="s">
        <v>407</v>
      </c>
      <c r="B25" s="110"/>
      <c r="C25" s="110"/>
      <c r="D25" s="110"/>
      <c r="E25" s="110"/>
      <c r="F25" s="110"/>
      <c r="G25" s="110"/>
      <c r="H25" s="110"/>
      <c r="I25" s="110"/>
    </row>
    <row r="28" spans="1:21" x14ac:dyDescent="0.35">
      <c r="F28" s="7"/>
      <c r="H28" s="7"/>
    </row>
    <row r="29" spans="1:21" x14ac:dyDescent="0.35">
      <c r="E29" s="7"/>
      <c r="G29" s="7"/>
    </row>
  </sheetData>
  <sheetProtection algorithmName="SHA-512" hashValue="v4Y1YDJwN6rZSOrAW1oqEmjER2ia2w+ATgNSbcTbgfQebw02crrB3VPYJ1XY6n2IB9F0WZOdW7R/wk1HaGl1eQ==" saltValue="7uMVi6jZAt2b+x/VvCgLHw==" spinCount="100000" sheet="1" sort="0" autoFilter="0" pivotTables="0"/>
  <dataConsolidate/>
  <mergeCells count="2">
    <mergeCell ref="A3:B3"/>
    <mergeCell ref="A25:I25"/>
  </mergeCells>
  <phoneticPr fontId="1"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554" yWindow="314" count="2">
        <x14:dataValidation type="list" allowBlank="1" showInputMessage="1" showErrorMessage="1" promptTitle="Select Government" prompt="Use this dropdown list to select the government you'd like." xr:uid="{E421427C-90F6-4B3E-8EC7-8D11DB2F2656}">
          <x14:formula1>
            <xm:f>'All Settlement Totals'!$B$4:$B284</xm:f>
          </x14:formula1>
          <xm:sqref>B4</xm:sqref>
        </x14:dataValidation>
        <x14:dataValidation type="list" allowBlank="1" showErrorMessage="1" promptTitle="Select Government" prompt="Use this dropdown list to select the government you'd like." xr:uid="{6A07874D-5076-46CE-85B7-AACB2F15A28F}">
          <x14:formula1>
            <xm:f>'All Settlement Totals'!$B$4:$B283</xm:f>
          </x14:formula1>
          <xm:sqref>A3:B3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5849-36FE-4F5B-AC32-A167C9B45001}">
  <dimension ref="A1:E248"/>
  <sheetViews>
    <sheetView workbookViewId="0">
      <selection activeCell="C32" sqref="C32:C66"/>
    </sheetView>
  </sheetViews>
  <sheetFormatPr defaultRowHeight="14.4" x14ac:dyDescent="0.3"/>
  <cols>
    <col min="1" max="1" width="23.5546875" customWidth="1"/>
    <col min="2" max="2" width="17.88671875" customWidth="1"/>
    <col min="3" max="3" width="22.6640625" customWidth="1"/>
    <col min="4" max="4" width="15.5546875" customWidth="1"/>
    <col min="5" max="5" width="50" customWidth="1"/>
  </cols>
  <sheetData>
    <row r="1" spans="1:5" ht="24.6" x14ac:dyDescent="0.4">
      <c r="A1" s="22" t="s">
        <v>464</v>
      </c>
    </row>
    <row r="4" spans="1:5" ht="43.5" customHeight="1" x14ac:dyDescent="0.3">
      <c r="A4" s="84" t="s">
        <v>454</v>
      </c>
      <c r="B4" s="84" t="s">
        <v>455</v>
      </c>
      <c r="C4" s="85" t="s">
        <v>456</v>
      </c>
      <c r="D4" s="86" t="s">
        <v>457</v>
      </c>
      <c r="E4" s="84" t="s">
        <v>458</v>
      </c>
    </row>
    <row r="5" spans="1:5" ht="15.75" customHeight="1" x14ac:dyDescent="0.35">
      <c r="A5" s="87" t="s">
        <v>459</v>
      </c>
      <c r="B5" s="87">
        <v>1</v>
      </c>
      <c r="C5" s="88">
        <v>16210202.75</v>
      </c>
      <c r="D5" s="89">
        <v>44299</v>
      </c>
      <c r="E5" s="3" t="s">
        <v>460</v>
      </c>
    </row>
    <row r="6" spans="1:5" ht="15.75" customHeight="1" x14ac:dyDescent="0.35">
      <c r="A6" s="87" t="s">
        <v>459</v>
      </c>
      <c r="B6" s="87">
        <v>2</v>
      </c>
      <c r="C6" s="43">
        <v>836753.43</v>
      </c>
      <c r="D6" s="89">
        <v>44652</v>
      </c>
      <c r="E6" s="3"/>
    </row>
    <row r="7" spans="1:5" ht="15.75" customHeight="1" x14ac:dyDescent="0.35">
      <c r="A7" s="87" t="s">
        <v>304</v>
      </c>
      <c r="B7" s="87">
        <v>1</v>
      </c>
      <c r="C7" s="90">
        <v>13457661.76</v>
      </c>
      <c r="D7" s="91">
        <v>44902</v>
      </c>
      <c r="E7" s="3"/>
    </row>
    <row r="8" spans="1:5" ht="15.75" customHeight="1" x14ac:dyDescent="0.35">
      <c r="A8" s="87" t="s">
        <v>304</v>
      </c>
      <c r="B8" s="87">
        <v>2</v>
      </c>
      <c r="C8" s="90">
        <v>14170155.560000001</v>
      </c>
      <c r="D8" s="91">
        <v>44939</v>
      </c>
      <c r="E8" s="3"/>
    </row>
    <row r="9" spans="1:5" ht="15.75" customHeight="1" x14ac:dyDescent="0.35">
      <c r="A9" s="87" t="s">
        <v>7</v>
      </c>
      <c r="B9" s="87">
        <v>1</v>
      </c>
      <c r="C9" s="90">
        <v>5461830.4199999999</v>
      </c>
      <c r="D9" s="91">
        <v>44939</v>
      </c>
      <c r="E9" s="3"/>
    </row>
    <row r="10" spans="1:5" ht="15.75" customHeight="1" x14ac:dyDescent="0.35">
      <c r="A10" s="87" t="s">
        <v>7</v>
      </c>
      <c r="B10" s="87">
        <v>2</v>
      </c>
      <c r="C10" s="90">
        <v>11198111.01</v>
      </c>
      <c r="D10" s="91">
        <v>44939</v>
      </c>
      <c r="E10" s="3"/>
    </row>
    <row r="11" spans="1:5" ht="15.75" customHeight="1" x14ac:dyDescent="0.35">
      <c r="A11" s="87" t="s">
        <v>7</v>
      </c>
      <c r="B11" s="87">
        <v>3</v>
      </c>
      <c r="C11" s="90">
        <v>8962718.6899999995</v>
      </c>
      <c r="D11" s="91">
        <v>44939</v>
      </c>
      <c r="E11" s="3"/>
    </row>
    <row r="12" spans="1:5" ht="15.75" customHeight="1" x14ac:dyDescent="0.35">
      <c r="A12" s="87" t="s">
        <v>7</v>
      </c>
      <c r="B12" s="87">
        <v>4</v>
      </c>
      <c r="C12" s="90">
        <v>13761909.08</v>
      </c>
      <c r="D12" s="91">
        <v>44939</v>
      </c>
      <c r="E12" s="3"/>
    </row>
    <row r="13" spans="1:5" ht="15.75" customHeight="1" x14ac:dyDescent="0.35">
      <c r="A13" s="87" t="s">
        <v>7</v>
      </c>
      <c r="B13" s="87">
        <v>5</v>
      </c>
      <c r="C13" s="90">
        <v>15253611.93</v>
      </c>
      <c r="D13" s="91">
        <v>44939</v>
      </c>
      <c r="E13" s="3"/>
    </row>
    <row r="14" spans="1:5" ht="15.75" customHeight="1" x14ac:dyDescent="0.35">
      <c r="A14" s="87" t="s">
        <v>7</v>
      </c>
      <c r="B14" s="87">
        <v>1</v>
      </c>
      <c r="C14" s="90">
        <v>163.13</v>
      </c>
      <c r="D14" s="91">
        <v>45016</v>
      </c>
      <c r="E14" s="3"/>
    </row>
    <row r="15" spans="1:5" ht="15.75" customHeight="1" x14ac:dyDescent="0.35">
      <c r="A15" s="87" t="s">
        <v>7</v>
      </c>
      <c r="B15" s="87">
        <v>2</v>
      </c>
      <c r="C15" s="90">
        <v>465.52</v>
      </c>
      <c r="D15" s="91">
        <v>45016</v>
      </c>
      <c r="E15" s="3"/>
    </row>
    <row r="16" spans="1:5" ht="15.75" customHeight="1" x14ac:dyDescent="0.35">
      <c r="A16" s="87" t="s">
        <v>7</v>
      </c>
      <c r="B16" s="87">
        <v>3</v>
      </c>
      <c r="C16" s="90">
        <v>359.87</v>
      </c>
      <c r="D16" s="91">
        <v>45016</v>
      </c>
      <c r="E16" s="3"/>
    </row>
    <row r="17" spans="1:5" ht="15.75" customHeight="1" x14ac:dyDescent="0.35">
      <c r="A17" s="87" t="s">
        <v>7</v>
      </c>
      <c r="B17" s="87">
        <v>4</v>
      </c>
      <c r="C17" s="90">
        <v>586.69000000000005</v>
      </c>
      <c r="D17" s="91">
        <v>45016</v>
      </c>
      <c r="E17" s="3"/>
    </row>
    <row r="18" spans="1:5" ht="15.75" customHeight="1" x14ac:dyDescent="0.35">
      <c r="A18" s="87" t="s">
        <v>7</v>
      </c>
      <c r="B18" s="87">
        <v>5</v>
      </c>
      <c r="C18" s="90">
        <v>657.2</v>
      </c>
      <c r="D18" s="91">
        <v>45016</v>
      </c>
      <c r="E18" s="3"/>
    </row>
    <row r="19" spans="1:5" ht="15.75" customHeight="1" x14ac:dyDescent="0.35">
      <c r="A19" s="87" t="s">
        <v>459</v>
      </c>
      <c r="B19" s="87">
        <v>3</v>
      </c>
      <c r="C19" s="43">
        <v>836853.43</v>
      </c>
      <c r="D19" s="89">
        <v>45019</v>
      </c>
      <c r="E19" s="3"/>
    </row>
    <row r="20" spans="1:5" ht="15.75" customHeight="1" x14ac:dyDescent="0.35">
      <c r="A20" s="87" t="s">
        <v>304</v>
      </c>
      <c r="B20" s="87">
        <v>1</v>
      </c>
      <c r="C20" s="90">
        <v>359.96</v>
      </c>
      <c r="D20" s="91">
        <v>45044</v>
      </c>
      <c r="E20" s="3"/>
    </row>
    <row r="21" spans="1:5" ht="15.75" customHeight="1" x14ac:dyDescent="0.35">
      <c r="A21" s="87" t="s">
        <v>304</v>
      </c>
      <c r="B21" s="87">
        <v>2</v>
      </c>
      <c r="C21" s="90">
        <v>392.43</v>
      </c>
      <c r="D21" s="91">
        <v>45044</v>
      </c>
      <c r="E21" s="3"/>
    </row>
    <row r="22" spans="1:5" ht="15.75" customHeight="1" x14ac:dyDescent="0.35">
      <c r="A22" s="87" t="s">
        <v>418</v>
      </c>
      <c r="B22" s="87">
        <v>1</v>
      </c>
      <c r="C22" s="92">
        <v>1561528.79</v>
      </c>
      <c r="D22" s="89">
        <v>45070</v>
      </c>
      <c r="E22" s="3"/>
    </row>
    <row r="23" spans="1:5" ht="15.75" customHeight="1" x14ac:dyDescent="0.35">
      <c r="A23" s="87" t="s">
        <v>418</v>
      </c>
      <c r="B23" s="87">
        <v>1</v>
      </c>
      <c r="C23" s="92">
        <v>90100.36</v>
      </c>
      <c r="D23" s="89">
        <v>45070</v>
      </c>
      <c r="E23" s="3"/>
    </row>
    <row r="24" spans="1:5" ht="15.75" customHeight="1" x14ac:dyDescent="0.35">
      <c r="A24" s="87" t="s">
        <v>418</v>
      </c>
      <c r="B24" s="87">
        <v>1</v>
      </c>
      <c r="C24" s="92">
        <v>206911.63</v>
      </c>
      <c r="D24" s="89">
        <v>45070</v>
      </c>
      <c r="E24" s="3"/>
    </row>
    <row r="25" spans="1:5" ht="15.75" customHeight="1" x14ac:dyDescent="0.35">
      <c r="A25" s="87" t="s">
        <v>418</v>
      </c>
      <c r="B25" s="87">
        <v>1</v>
      </c>
      <c r="C25" s="92">
        <v>188662.8</v>
      </c>
      <c r="D25" s="89">
        <v>45070</v>
      </c>
      <c r="E25" s="3"/>
    </row>
    <row r="26" spans="1:5" ht="15.75" customHeight="1" x14ac:dyDescent="0.35">
      <c r="A26" s="87" t="s">
        <v>418</v>
      </c>
      <c r="B26" s="87">
        <v>1</v>
      </c>
      <c r="C26" s="92">
        <v>307211.90999999997</v>
      </c>
      <c r="D26" s="89">
        <v>45070</v>
      </c>
      <c r="E26" s="3"/>
    </row>
    <row r="27" spans="1:5" ht="15.75" customHeight="1" x14ac:dyDescent="0.35">
      <c r="A27" s="87" t="s">
        <v>418</v>
      </c>
      <c r="B27" s="87">
        <v>1</v>
      </c>
      <c r="C27" s="92">
        <v>581728.19999999995</v>
      </c>
      <c r="D27" s="89">
        <v>45070</v>
      </c>
      <c r="E27" s="3"/>
    </row>
    <row r="28" spans="1:5" ht="15.75" customHeight="1" x14ac:dyDescent="0.35">
      <c r="A28" s="87" t="s">
        <v>418</v>
      </c>
      <c r="B28" s="87">
        <v>1</v>
      </c>
      <c r="C28" s="92">
        <v>264315.98</v>
      </c>
      <c r="D28" s="89">
        <v>45070</v>
      </c>
      <c r="E28" s="3"/>
    </row>
    <row r="29" spans="1:5" ht="15.75" customHeight="1" x14ac:dyDescent="0.35">
      <c r="A29" s="87" t="s">
        <v>418</v>
      </c>
      <c r="B29" s="87">
        <v>1</v>
      </c>
      <c r="C29" s="92">
        <v>124805.17</v>
      </c>
      <c r="D29" s="89">
        <v>45070</v>
      </c>
      <c r="E29" s="3"/>
    </row>
    <row r="30" spans="1:5" ht="15.75" customHeight="1" x14ac:dyDescent="0.35">
      <c r="A30" s="87" t="s">
        <v>7</v>
      </c>
      <c r="B30" s="87">
        <v>3</v>
      </c>
      <c r="C30" s="90">
        <v>1161575.03</v>
      </c>
      <c r="D30" s="91">
        <v>45093</v>
      </c>
      <c r="E30" s="3"/>
    </row>
    <row r="31" spans="1:5" ht="15.75" customHeight="1" x14ac:dyDescent="0.35">
      <c r="A31" s="87" t="s">
        <v>304</v>
      </c>
      <c r="B31" s="87">
        <v>3</v>
      </c>
      <c r="C31" s="90">
        <v>14170547.98</v>
      </c>
      <c r="D31" s="91">
        <v>45140</v>
      </c>
      <c r="E31" s="3"/>
    </row>
    <row r="32" spans="1:5" ht="15.75" customHeight="1" x14ac:dyDescent="0.35">
      <c r="A32" s="87" t="s">
        <v>461</v>
      </c>
      <c r="B32" s="87">
        <v>1</v>
      </c>
      <c r="C32" s="43">
        <v>429476.75</v>
      </c>
      <c r="D32" s="89">
        <v>45225</v>
      </c>
      <c r="E32" s="3"/>
    </row>
    <row r="33" spans="1:5" ht="15.75" customHeight="1" x14ac:dyDescent="0.35">
      <c r="A33" s="87" t="s">
        <v>304</v>
      </c>
      <c r="B33" s="87">
        <v>3</v>
      </c>
      <c r="C33" s="90">
        <v>583.30999999999995</v>
      </c>
      <c r="D33" s="91">
        <v>45231</v>
      </c>
      <c r="E33" s="3"/>
    </row>
    <row r="34" spans="1:5" ht="15.75" customHeight="1" x14ac:dyDescent="0.35">
      <c r="A34" s="87" t="s">
        <v>7</v>
      </c>
      <c r="B34" s="87">
        <v>3</v>
      </c>
      <c r="C34" s="90">
        <v>119.33</v>
      </c>
      <c r="D34" s="91">
        <v>45231</v>
      </c>
      <c r="E34" s="3"/>
    </row>
    <row r="35" spans="1:5" ht="15.75" customHeight="1" x14ac:dyDescent="0.35">
      <c r="A35" s="87" t="s">
        <v>7</v>
      </c>
      <c r="B35" s="87">
        <v>4</v>
      </c>
      <c r="C35" s="90">
        <v>173.49</v>
      </c>
      <c r="D35" s="91">
        <v>45231</v>
      </c>
      <c r="E35" s="3"/>
    </row>
    <row r="36" spans="1:5" ht="15.75" customHeight="1" x14ac:dyDescent="0.35">
      <c r="A36" s="87" t="s">
        <v>7</v>
      </c>
      <c r="B36" s="87">
        <v>5</v>
      </c>
      <c r="C36" s="90">
        <v>173.56</v>
      </c>
      <c r="D36" s="91">
        <v>45231</v>
      </c>
      <c r="E36" s="3"/>
    </row>
    <row r="37" spans="1:5" ht="15.75" customHeight="1" x14ac:dyDescent="0.35">
      <c r="A37" s="87" t="s">
        <v>418</v>
      </c>
      <c r="B37" s="87">
        <v>2</v>
      </c>
      <c r="C37" s="88">
        <v>1986101.32</v>
      </c>
      <c r="D37" s="89">
        <v>45239</v>
      </c>
      <c r="E37" s="3"/>
    </row>
    <row r="38" spans="1:5" ht="15.75" customHeight="1" x14ac:dyDescent="0.35">
      <c r="A38" s="87" t="s">
        <v>418</v>
      </c>
      <c r="B38" s="87">
        <v>2</v>
      </c>
      <c r="C38" s="88">
        <v>102315.65</v>
      </c>
      <c r="D38" s="89">
        <v>45239</v>
      </c>
      <c r="E38" s="3"/>
    </row>
    <row r="39" spans="1:5" ht="15.75" customHeight="1" x14ac:dyDescent="0.35">
      <c r="A39" s="87" t="s">
        <v>418</v>
      </c>
      <c r="B39" s="87">
        <v>2</v>
      </c>
      <c r="C39" s="88">
        <v>234963.52</v>
      </c>
      <c r="D39" s="89">
        <v>45239</v>
      </c>
      <c r="E39" s="3"/>
    </row>
    <row r="40" spans="1:5" ht="15.75" customHeight="1" x14ac:dyDescent="0.35">
      <c r="A40" s="87" t="s">
        <v>418</v>
      </c>
      <c r="B40" s="87">
        <v>2</v>
      </c>
      <c r="C40" s="88">
        <v>214240.61</v>
      </c>
      <c r="D40" s="89">
        <v>45239</v>
      </c>
      <c r="E40" s="3"/>
    </row>
    <row r="41" spans="1:5" ht="15.75" customHeight="1" x14ac:dyDescent="0.35">
      <c r="A41" s="87" t="s">
        <v>418</v>
      </c>
      <c r="B41" s="87">
        <v>2</v>
      </c>
      <c r="C41" s="88">
        <v>348861.93</v>
      </c>
      <c r="D41" s="89">
        <v>45239</v>
      </c>
      <c r="E41" s="3"/>
    </row>
    <row r="42" spans="1:5" ht="15.75" customHeight="1" x14ac:dyDescent="0.35">
      <c r="A42" s="87" t="s">
        <v>418</v>
      </c>
      <c r="B42" s="87">
        <v>2</v>
      </c>
      <c r="C42" s="88">
        <v>660595.55000000005</v>
      </c>
      <c r="D42" s="89">
        <v>45239</v>
      </c>
      <c r="E42" s="3"/>
    </row>
    <row r="43" spans="1:5" ht="15.75" customHeight="1" x14ac:dyDescent="0.35">
      <c r="A43" s="87" t="s">
        <v>418</v>
      </c>
      <c r="B43" s="87">
        <v>2</v>
      </c>
      <c r="C43" s="88">
        <v>300150.42</v>
      </c>
      <c r="D43" s="89">
        <v>45239</v>
      </c>
      <c r="E43" s="3"/>
    </row>
    <row r="44" spans="1:5" ht="15.75" customHeight="1" x14ac:dyDescent="0.35">
      <c r="A44" s="87" t="s">
        <v>418</v>
      </c>
      <c r="B44" s="87">
        <v>2</v>
      </c>
      <c r="C44" s="88">
        <v>141725.54</v>
      </c>
      <c r="D44" s="89">
        <v>45239</v>
      </c>
      <c r="E44" s="3"/>
    </row>
    <row r="45" spans="1:5" ht="15.75" customHeight="1" x14ac:dyDescent="0.35">
      <c r="A45" s="3" t="s">
        <v>9</v>
      </c>
      <c r="B45" s="5">
        <v>1</v>
      </c>
      <c r="C45" s="43">
        <v>680866.51</v>
      </c>
      <c r="D45" s="89">
        <v>45380</v>
      </c>
      <c r="E45" s="3" t="s">
        <v>462</v>
      </c>
    </row>
    <row r="46" spans="1:5" ht="15.75" customHeight="1" x14ac:dyDescent="0.35">
      <c r="A46" s="3" t="s">
        <v>8</v>
      </c>
      <c r="B46" s="5">
        <v>1</v>
      </c>
      <c r="C46" s="43">
        <v>1656454.3</v>
      </c>
      <c r="D46" s="89">
        <v>45380</v>
      </c>
      <c r="E46" s="3" t="s">
        <v>462</v>
      </c>
    </row>
    <row r="47" spans="1:5" ht="15.75" customHeight="1" x14ac:dyDescent="0.35">
      <c r="A47" s="87" t="s">
        <v>463</v>
      </c>
      <c r="B47" s="87">
        <v>1</v>
      </c>
      <c r="C47" s="90">
        <v>3564531.64</v>
      </c>
      <c r="D47" s="91">
        <v>45380</v>
      </c>
      <c r="E47" s="3" t="s">
        <v>462</v>
      </c>
    </row>
    <row r="48" spans="1:5" ht="15.75" customHeight="1" x14ac:dyDescent="0.35">
      <c r="A48" s="87" t="s">
        <v>11</v>
      </c>
      <c r="B48" s="87">
        <v>1</v>
      </c>
      <c r="C48" s="90">
        <v>4033787.12</v>
      </c>
      <c r="D48" s="91">
        <v>45380</v>
      </c>
      <c r="E48" s="3" t="s">
        <v>462</v>
      </c>
    </row>
    <row r="49" spans="1:5" ht="15.75" customHeight="1" x14ac:dyDescent="0.35">
      <c r="A49" s="87" t="s">
        <v>304</v>
      </c>
      <c r="B49" s="87">
        <v>1</v>
      </c>
      <c r="C49" s="90">
        <v>3819005.43</v>
      </c>
      <c r="D49" s="91">
        <v>45383</v>
      </c>
      <c r="E49" s="3" t="s">
        <v>462</v>
      </c>
    </row>
    <row r="50" spans="1:5" ht="15.75" customHeight="1" x14ac:dyDescent="0.35">
      <c r="A50" s="3" t="s">
        <v>304</v>
      </c>
      <c r="B50" s="5">
        <v>4</v>
      </c>
      <c r="C50" s="43">
        <v>17737788.18</v>
      </c>
      <c r="D50" s="89">
        <v>45504</v>
      </c>
      <c r="E50" s="3"/>
    </row>
    <row r="51" spans="1:5" ht="15.75" customHeight="1" x14ac:dyDescent="0.35">
      <c r="A51" s="3" t="s">
        <v>304</v>
      </c>
      <c r="B51" s="5">
        <v>7</v>
      </c>
      <c r="C51" s="43">
        <v>7807244.3899999997</v>
      </c>
      <c r="D51" s="89">
        <v>45443</v>
      </c>
      <c r="E51" s="3"/>
    </row>
    <row r="52" spans="1:5" ht="15.75" customHeight="1" x14ac:dyDescent="0.35">
      <c r="A52" s="87" t="s">
        <v>459</v>
      </c>
      <c r="B52" s="5">
        <v>4</v>
      </c>
      <c r="C52" s="43">
        <v>836853.43</v>
      </c>
      <c r="D52" s="89">
        <v>45385</v>
      </c>
      <c r="E52" s="3"/>
    </row>
    <row r="53" spans="1:5" ht="15.75" customHeight="1" x14ac:dyDescent="0.35">
      <c r="A53" s="3" t="s">
        <v>7</v>
      </c>
      <c r="B53" s="5">
        <v>4</v>
      </c>
      <c r="C53" s="43">
        <v>1078605.3799999999</v>
      </c>
      <c r="D53" s="89">
        <v>45460</v>
      </c>
      <c r="E53" s="3"/>
    </row>
    <row r="54" spans="1:5" ht="15.75" customHeight="1" x14ac:dyDescent="0.35">
      <c r="A54" s="3" t="s">
        <v>9</v>
      </c>
      <c r="B54" s="5">
        <v>1</v>
      </c>
      <c r="C54" s="43">
        <v>5205617.42</v>
      </c>
      <c r="D54" s="89">
        <v>45443</v>
      </c>
      <c r="E54" s="3"/>
    </row>
    <row r="55" spans="1:5" ht="15.75" customHeight="1" x14ac:dyDescent="0.35">
      <c r="A55" s="3" t="s">
        <v>9</v>
      </c>
      <c r="B55" s="5">
        <v>2</v>
      </c>
      <c r="C55" s="43">
        <v>5301697.72</v>
      </c>
      <c r="D55" s="89">
        <v>45504</v>
      </c>
      <c r="E55" s="3"/>
    </row>
    <row r="56" spans="1:5" ht="15.75" customHeight="1" x14ac:dyDescent="0.35">
      <c r="A56" s="3" t="s">
        <v>8</v>
      </c>
      <c r="B56" s="5">
        <v>1</v>
      </c>
      <c r="C56" s="43">
        <v>4659348.62</v>
      </c>
      <c r="D56" s="89">
        <v>45443</v>
      </c>
      <c r="E56" s="3"/>
    </row>
    <row r="57" spans="1:5" ht="15.75" customHeight="1" x14ac:dyDescent="0.35">
      <c r="A57" s="3" t="s">
        <v>8</v>
      </c>
      <c r="B57" s="5">
        <v>2</v>
      </c>
      <c r="C57" s="43">
        <v>4823618.51</v>
      </c>
      <c r="D57" s="89">
        <v>45504</v>
      </c>
      <c r="E57" s="3"/>
    </row>
    <row r="58" spans="1:5" ht="15.75" customHeight="1" x14ac:dyDescent="0.35">
      <c r="A58" s="3" t="s">
        <v>10</v>
      </c>
      <c r="B58" s="5">
        <v>1</v>
      </c>
      <c r="C58" s="43">
        <v>5660879.4199999999</v>
      </c>
      <c r="D58" s="89">
        <v>45443</v>
      </c>
      <c r="E58" s="3"/>
    </row>
    <row r="59" spans="1:5" ht="15.75" customHeight="1" x14ac:dyDescent="0.35">
      <c r="A59" s="3" t="s">
        <v>10</v>
      </c>
      <c r="B59" s="5">
        <v>2</v>
      </c>
      <c r="C59" s="43">
        <v>4597898.33</v>
      </c>
      <c r="D59" s="89">
        <v>45504</v>
      </c>
      <c r="E59" s="3"/>
    </row>
    <row r="60" spans="1:5" ht="15.75" customHeight="1" x14ac:dyDescent="0.35">
      <c r="A60" s="3" t="s">
        <v>463</v>
      </c>
      <c r="B60" s="5">
        <v>1</v>
      </c>
      <c r="C60" s="43">
        <v>6651094.1399999997</v>
      </c>
      <c r="D60" s="89">
        <v>45443</v>
      </c>
      <c r="E60" s="3"/>
    </row>
    <row r="61" spans="1:5" ht="15.75" customHeight="1" x14ac:dyDescent="0.35">
      <c r="A61" s="3" t="s">
        <v>463</v>
      </c>
      <c r="B61" s="5">
        <v>1</v>
      </c>
      <c r="C61" s="43">
        <v>4461888.4000000004</v>
      </c>
      <c r="D61" s="89">
        <v>45504</v>
      </c>
      <c r="E61" s="3" t="s">
        <v>462</v>
      </c>
    </row>
    <row r="62" spans="1:5" ht="15.75" customHeight="1" x14ac:dyDescent="0.35">
      <c r="A62" s="3" t="s">
        <v>463</v>
      </c>
      <c r="B62" s="5">
        <v>2</v>
      </c>
      <c r="C62" s="43">
        <v>4465879.3</v>
      </c>
      <c r="D62" s="89">
        <v>45443</v>
      </c>
      <c r="E62" s="3"/>
    </row>
    <row r="63" spans="1:5" ht="15.75" customHeight="1" x14ac:dyDescent="0.35">
      <c r="A63" s="3" t="s">
        <v>461</v>
      </c>
      <c r="B63" s="5">
        <v>2</v>
      </c>
      <c r="C63" s="43">
        <v>3292977.88</v>
      </c>
      <c r="D63" s="89">
        <v>45488</v>
      </c>
      <c r="E63" s="3"/>
    </row>
    <row r="64" spans="1:5" ht="15.75" customHeight="1" x14ac:dyDescent="0.35">
      <c r="A64" s="3" t="s">
        <v>11</v>
      </c>
      <c r="B64" s="5">
        <v>1</v>
      </c>
      <c r="C64" s="43">
        <v>45620683.18</v>
      </c>
      <c r="D64" s="89">
        <v>45443</v>
      </c>
      <c r="E64" s="3"/>
    </row>
    <row r="65" spans="1:5" ht="15.75" customHeight="1" x14ac:dyDescent="0.35">
      <c r="A65" s="3" t="s">
        <v>432</v>
      </c>
      <c r="B65" s="5">
        <v>1</v>
      </c>
      <c r="C65" s="43">
        <v>11668940.6</v>
      </c>
      <c r="D65" s="89">
        <v>45422</v>
      </c>
      <c r="E65" s="3"/>
    </row>
    <row r="66" spans="1:5" ht="15.75" customHeight="1" x14ac:dyDescent="0.35">
      <c r="A66" s="3" t="s">
        <v>432</v>
      </c>
      <c r="B66" s="5">
        <v>1</v>
      </c>
      <c r="C66" s="43">
        <v>5000</v>
      </c>
      <c r="D66" s="89">
        <v>45422</v>
      </c>
      <c r="E66" s="3"/>
    </row>
    <row r="67" spans="1:5" ht="15.75" customHeight="1" x14ac:dyDescent="0.35">
      <c r="A67" s="3" t="s">
        <v>465</v>
      </c>
      <c r="B67" s="5">
        <v>1</v>
      </c>
      <c r="C67" s="43">
        <v>10716906.439999999</v>
      </c>
      <c r="D67" s="89">
        <v>45603</v>
      </c>
      <c r="E67" s="3"/>
    </row>
    <row r="68" spans="1:5" ht="15.75" customHeight="1" x14ac:dyDescent="0.35">
      <c r="A68" s="3" t="s">
        <v>465</v>
      </c>
      <c r="B68" s="5">
        <v>1</v>
      </c>
      <c r="C68" s="43">
        <v>468632.49</v>
      </c>
      <c r="D68" s="89">
        <v>45603</v>
      </c>
      <c r="E68" s="3"/>
    </row>
    <row r="69" spans="1:5" ht="18" x14ac:dyDescent="0.35">
      <c r="A69" s="5" t="s">
        <v>463</v>
      </c>
      <c r="B69" s="5">
        <v>1</v>
      </c>
      <c r="C69" s="93">
        <v>1495081.41</v>
      </c>
      <c r="D69" s="89">
        <v>45672</v>
      </c>
      <c r="E69" s="5" t="s">
        <v>462</v>
      </c>
    </row>
    <row r="70" spans="1:5" ht="15.6" x14ac:dyDescent="0.3">
      <c r="A70" s="80"/>
      <c r="B70" s="80"/>
      <c r="C70" s="80"/>
      <c r="D70" s="80"/>
      <c r="E70" s="80"/>
    </row>
    <row r="71" spans="1:5" ht="15.6" x14ac:dyDescent="0.3">
      <c r="A71" s="80"/>
      <c r="B71" s="80"/>
      <c r="C71" s="80"/>
      <c r="D71" s="80"/>
      <c r="E71" s="80"/>
    </row>
    <row r="72" spans="1:5" ht="15.6" x14ac:dyDescent="0.3">
      <c r="A72" s="80"/>
      <c r="B72" s="80"/>
      <c r="C72" s="80"/>
      <c r="D72" s="80"/>
      <c r="E72" s="80"/>
    </row>
    <row r="73" spans="1:5" ht="15.6" x14ac:dyDescent="0.3">
      <c r="A73" s="80"/>
      <c r="B73" s="80"/>
      <c r="C73" s="80"/>
      <c r="D73" s="80"/>
      <c r="E73" s="80"/>
    </row>
    <row r="74" spans="1:5" ht="15.6" x14ac:dyDescent="0.3">
      <c r="A74" s="80"/>
      <c r="B74" s="80"/>
      <c r="C74" s="80"/>
      <c r="D74" s="80"/>
      <c r="E74" s="80"/>
    </row>
    <row r="75" spans="1:5" ht="15.6" x14ac:dyDescent="0.3">
      <c r="A75" s="80"/>
      <c r="B75" s="80"/>
      <c r="C75" s="80"/>
      <c r="D75" s="80"/>
      <c r="E75" s="80"/>
    </row>
    <row r="76" spans="1:5" ht="15.6" x14ac:dyDescent="0.3">
      <c r="A76" s="80"/>
      <c r="B76" s="80"/>
      <c r="C76" s="80"/>
      <c r="D76" s="80"/>
      <c r="E76" s="80"/>
    </row>
    <row r="77" spans="1:5" ht="15.6" x14ac:dyDescent="0.3">
      <c r="A77" s="80"/>
      <c r="B77" s="80"/>
      <c r="C77" s="80"/>
      <c r="D77" s="80"/>
      <c r="E77" s="80"/>
    </row>
    <row r="78" spans="1:5" ht="15.6" x14ac:dyDescent="0.3">
      <c r="A78" s="80"/>
      <c r="B78" s="80"/>
      <c r="C78" s="80"/>
      <c r="D78" s="80"/>
      <c r="E78" s="80"/>
    </row>
    <row r="79" spans="1:5" ht="15.6" x14ac:dyDescent="0.3">
      <c r="A79" s="80"/>
      <c r="B79" s="80"/>
      <c r="C79" s="80"/>
      <c r="D79" s="80"/>
      <c r="E79" s="80"/>
    </row>
    <row r="80" spans="1:5" ht="15.6" x14ac:dyDescent="0.3">
      <c r="A80" s="80"/>
      <c r="B80" s="80"/>
      <c r="C80" s="80"/>
      <c r="D80" s="80"/>
      <c r="E80" s="80"/>
    </row>
    <row r="81" spans="1:5" ht="15.6" x14ac:dyDescent="0.3">
      <c r="A81" s="80"/>
      <c r="B81" s="80"/>
      <c r="C81" s="80"/>
      <c r="D81" s="80"/>
      <c r="E81" s="80"/>
    </row>
    <row r="82" spans="1:5" ht="15.6" x14ac:dyDescent="0.3">
      <c r="A82" s="80"/>
      <c r="B82" s="80"/>
      <c r="C82" s="80"/>
      <c r="D82" s="80"/>
      <c r="E82" s="80"/>
    </row>
    <row r="83" spans="1:5" ht="15.6" x14ac:dyDescent="0.3">
      <c r="A83" s="80"/>
      <c r="B83" s="80"/>
      <c r="C83" s="80"/>
      <c r="D83" s="80"/>
      <c r="E83" s="80"/>
    </row>
    <row r="84" spans="1:5" ht="15.6" x14ac:dyDescent="0.3">
      <c r="A84" s="80"/>
      <c r="B84" s="80"/>
      <c r="C84" s="80"/>
      <c r="D84" s="80"/>
      <c r="E84" s="80"/>
    </row>
    <row r="85" spans="1:5" ht="15.6" x14ac:dyDescent="0.3">
      <c r="A85" s="80"/>
      <c r="B85" s="80"/>
      <c r="C85" s="80"/>
      <c r="D85" s="80"/>
      <c r="E85" s="80"/>
    </row>
    <row r="86" spans="1:5" ht="15.6" x14ac:dyDescent="0.3">
      <c r="A86" s="80"/>
      <c r="B86" s="80"/>
      <c r="C86" s="80"/>
      <c r="D86" s="80"/>
      <c r="E86" s="80"/>
    </row>
    <row r="87" spans="1:5" ht="15.6" x14ac:dyDescent="0.3">
      <c r="A87" s="80"/>
      <c r="B87" s="80"/>
      <c r="C87" s="80"/>
      <c r="D87" s="80"/>
      <c r="E87" s="80"/>
    </row>
    <row r="88" spans="1:5" ht="15.6" x14ac:dyDescent="0.3">
      <c r="A88" s="80"/>
      <c r="B88" s="80"/>
      <c r="C88" s="80"/>
      <c r="D88" s="80"/>
      <c r="E88" s="80"/>
    </row>
    <row r="89" spans="1:5" ht="15.6" x14ac:dyDescent="0.3">
      <c r="A89" s="80"/>
      <c r="B89" s="80"/>
      <c r="C89" s="80"/>
      <c r="D89" s="80"/>
      <c r="E89" s="80"/>
    </row>
    <row r="90" spans="1:5" ht="15.6" x14ac:dyDescent="0.3">
      <c r="A90" s="80"/>
      <c r="B90" s="80"/>
      <c r="C90" s="80"/>
      <c r="D90" s="80"/>
      <c r="E90" s="80"/>
    </row>
    <row r="91" spans="1:5" ht="15.6" x14ac:dyDescent="0.3">
      <c r="A91" s="80"/>
      <c r="B91" s="80"/>
      <c r="C91" s="80"/>
      <c r="D91" s="80"/>
      <c r="E91" s="80"/>
    </row>
    <row r="92" spans="1:5" ht="15.6" x14ac:dyDescent="0.3">
      <c r="A92" s="80"/>
      <c r="B92" s="80"/>
      <c r="C92" s="80"/>
      <c r="D92" s="80"/>
      <c r="E92" s="80"/>
    </row>
    <row r="93" spans="1:5" ht="15.6" x14ac:dyDescent="0.3">
      <c r="A93" s="80"/>
      <c r="B93" s="80"/>
      <c r="C93" s="80"/>
      <c r="D93" s="80"/>
      <c r="E93" s="80"/>
    </row>
    <row r="94" spans="1:5" ht="15.6" x14ac:dyDescent="0.3">
      <c r="A94" s="80"/>
      <c r="B94" s="80"/>
      <c r="C94" s="80"/>
      <c r="D94" s="80"/>
      <c r="E94" s="80"/>
    </row>
    <row r="95" spans="1:5" ht="15.6" x14ac:dyDescent="0.3">
      <c r="A95" s="80"/>
      <c r="B95" s="80"/>
      <c r="C95" s="80"/>
      <c r="D95" s="80"/>
      <c r="E95" s="80"/>
    </row>
    <row r="96" spans="1:5" ht="15.6" x14ac:dyDescent="0.3">
      <c r="A96" s="80"/>
      <c r="B96" s="80"/>
      <c r="C96" s="80"/>
      <c r="D96" s="80"/>
      <c r="E96" s="80"/>
    </row>
    <row r="97" spans="1:5" ht="15.6" x14ac:dyDescent="0.3">
      <c r="A97" s="80"/>
      <c r="B97" s="80"/>
      <c r="C97" s="80"/>
      <c r="D97" s="80"/>
      <c r="E97" s="80"/>
    </row>
    <row r="98" spans="1:5" ht="15.6" x14ac:dyDescent="0.3">
      <c r="A98" s="80"/>
      <c r="B98" s="80"/>
      <c r="C98" s="80"/>
      <c r="D98" s="80"/>
      <c r="E98" s="80"/>
    </row>
    <row r="99" spans="1:5" ht="15.6" x14ac:dyDescent="0.3">
      <c r="A99" s="80"/>
      <c r="B99" s="80"/>
      <c r="C99" s="80"/>
      <c r="D99" s="80"/>
      <c r="E99" s="80"/>
    </row>
    <row r="100" spans="1:5" ht="15.6" x14ac:dyDescent="0.3">
      <c r="A100" s="80"/>
      <c r="B100" s="80"/>
      <c r="C100" s="80"/>
      <c r="D100" s="80"/>
      <c r="E100" s="80"/>
    </row>
    <row r="101" spans="1:5" ht="15.6" x14ac:dyDescent="0.3">
      <c r="A101" s="80"/>
      <c r="B101" s="80"/>
      <c r="C101" s="80"/>
      <c r="D101" s="80"/>
      <c r="E101" s="80"/>
    </row>
    <row r="102" spans="1:5" ht="15.6" x14ac:dyDescent="0.3">
      <c r="A102" s="80"/>
      <c r="B102" s="80"/>
      <c r="C102" s="80"/>
      <c r="D102" s="80"/>
      <c r="E102" s="80"/>
    </row>
    <row r="103" spans="1:5" ht="15.6" x14ac:dyDescent="0.3">
      <c r="A103" s="80"/>
      <c r="B103" s="80"/>
      <c r="C103" s="80"/>
      <c r="D103" s="80"/>
      <c r="E103" s="80"/>
    </row>
    <row r="104" spans="1:5" ht="15.6" x14ac:dyDescent="0.3">
      <c r="A104" s="80"/>
      <c r="B104" s="80"/>
      <c r="C104" s="80"/>
      <c r="D104" s="80"/>
      <c r="E104" s="80"/>
    </row>
    <row r="105" spans="1:5" ht="15.6" x14ac:dyDescent="0.3">
      <c r="A105" s="80"/>
      <c r="B105" s="80"/>
      <c r="C105" s="80"/>
      <c r="D105" s="80"/>
      <c r="E105" s="80"/>
    </row>
    <row r="106" spans="1:5" ht="15.6" x14ac:dyDescent="0.3">
      <c r="A106" s="80"/>
      <c r="B106" s="80"/>
      <c r="C106" s="80"/>
      <c r="D106" s="80"/>
      <c r="E106" s="80"/>
    </row>
    <row r="107" spans="1:5" ht="15.6" x14ac:dyDescent="0.3">
      <c r="A107" s="80"/>
      <c r="B107" s="80"/>
      <c r="C107" s="80"/>
      <c r="D107" s="80"/>
      <c r="E107" s="80"/>
    </row>
    <row r="108" spans="1:5" ht="15.6" x14ac:dyDescent="0.3">
      <c r="A108" s="80"/>
      <c r="B108" s="80"/>
      <c r="C108" s="80"/>
      <c r="D108" s="80"/>
      <c r="E108" s="80"/>
    </row>
    <row r="109" spans="1:5" ht="15.6" x14ac:dyDescent="0.3">
      <c r="A109" s="80"/>
      <c r="B109" s="80"/>
      <c r="C109" s="80"/>
      <c r="D109" s="80"/>
      <c r="E109" s="80"/>
    </row>
    <row r="110" spans="1:5" ht="15.6" x14ac:dyDescent="0.3">
      <c r="A110" s="80"/>
      <c r="B110" s="80"/>
      <c r="C110" s="80"/>
      <c r="D110" s="80"/>
      <c r="E110" s="80"/>
    </row>
    <row r="111" spans="1:5" ht="15.6" x14ac:dyDescent="0.3">
      <c r="A111" s="80"/>
      <c r="B111" s="80"/>
      <c r="C111" s="80"/>
      <c r="D111" s="80"/>
      <c r="E111" s="80"/>
    </row>
    <row r="112" spans="1:5" ht="15.6" x14ac:dyDescent="0.3">
      <c r="A112" s="80"/>
      <c r="B112" s="80"/>
      <c r="C112" s="80"/>
      <c r="D112" s="80"/>
      <c r="E112" s="80"/>
    </row>
    <row r="113" spans="1:5" ht="15.6" x14ac:dyDescent="0.3">
      <c r="A113" s="80"/>
      <c r="B113" s="80"/>
      <c r="C113" s="80"/>
      <c r="D113" s="80"/>
      <c r="E113" s="80"/>
    </row>
    <row r="114" spans="1:5" ht="15.6" x14ac:dyDescent="0.3">
      <c r="A114" s="80"/>
      <c r="B114" s="80"/>
      <c r="C114" s="80"/>
      <c r="D114" s="80"/>
      <c r="E114" s="80"/>
    </row>
    <row r="115" spans="1:5" ht="15.6" x14ac:dyDescent="0.3">
      <c r="A115" s="80"/>
      <c r="B115" s="80"/>
      <c r="C115" s="80"/>
      <c r="D115" s="80"/>
      <c r="E115" s="80"/>
    </row>
    <row r="116" spans="1:5" ht="15.6" x14ac:dyDescent="0.3">
      <c r="A116" s="80"/>
      <c r="B116" s="80"/>
      <c r="C116" s="80"/>
      <c r="D116" s="80"/>
      <c r="E116" s="80"/>
    </row>
    <row r="117" spans="1:5" ht="15.6" x14ac:dyDescent="0.3">
      <c r="A117" s="80"/>
      <c r="B117" s="80"/>
      <c r="C117" s="80"/>
      <c r="D117" s="80"/>
      <c r="E117" s="80"/>
    </row>
    <row r="118" spans="1:5" ht="15.6" x14ac:dyDescent="0.3">
      <c r="A118" s="80"/>
      <c r="B118" s="80"/>
      <c r="C118" s="80"/>
      <c r="D118" s="80"/>
      <c r="E118" s="80"/>
    </row>
    <row r="119" spans="1:5" ht="15.6" x14ac:dyDescent="0.3">
      <c r="A119" s="80"/>
      <c r="B119" s="80"/>
      <c r="C119" s="80"/>
      <c r="D119" s="80"/>
      <c r="E119" s="80"/>
    </row>
    <row r="120" spans="1:5" ht="15.6" x14ac:dyDescent="0.3">
      <c r="A120" s="80"/>
      <c r="B120" s="80"/>
      <c r="C120" s="80"/>
      <c r="D120" s="80"/>
      <c r="E120" s="80"/>
    </row>
    <row r="121" spans="1:5" ht="15.6" x14ac:dyDescent="0.3">
      <c r="A121" s="80"/>
      <c r="B121" s="80"/>
      <c r="C121" s="80"/>
      <c r="D121" s="80"/>
      <c r="E121" s="80"/>
    </row>
    <row r="122" spans="1:5" ht="15.6" x14ac:dyDescent="0.3">
      <c r="A122" s="80"/>
      <c r="B122" s="80"/>
      <c r="C122" s="80"/>
      <c r="D122" s="80"/>
      <c r="E122" s="80"/>
    </row>
    <row r="123" spans="1:5" ht="15.6" x14ac:dyDescent="0.3">
      <c r="A123" s="80"/>
      <c r="B123" s="80"/>
      <c r="C123" s="80"/>
      <c r="D123" s="80"/>
      <c r="E123" s="80"/>
    </row>
    <row r="124" spans="1:5" ht="15.6" x14ac:dyDescent="0.3">
      <c r="A124" s="80"/>
      <c r="B124" s="80"/>
      <c r="C124" s="80"/>
      <c r="D124" s="80"/>
      <c r="E124" s="80"/>
    </row>
    <row r="125" spans="1:5" ht="15.6" x14ac:dyDescent="0.3">
      <c r="A125" s="80"/>
      <c r="B125" s="80"/>
      <c r="C125" s="80"/>
      <c r="D125" s="80"/>
      <c r="E125" s="80"/>
    </row>
    <row r="126" spans="1:5" ht="15.6" x14ac:dyDescent="0.3">
      <c r="A126" s="80"/>
      <c r="B126" s="80"/>
      <c r="C126" s="80"/>
      <c r="D126" s="80"/>
      <c r="E126" s="80"/>
    </row>
    <row r="127" spans="1:5" ht="15.6" x14ac:dyDescent="0.3">
      <c r="A127" s="80"/>
      <c r="B127" s="80"/>
      <c r="C127" s="80"/>
      <c r="D127" s="80"/>
      <c r="E127" s="80"/>
    </row>
    <row r="128" spans="1:5" ht="15.6" x14ac:dyDescent="0.3">
      <c r="A128" s="80"/>
      <c r="B128" s="80"/>
      <c r="C128" s="80"/>
      <c r="D128" s="80"/>
      <c r="E128" s="80"/>
    </row>
    <row r="129" spans="1:5" ht="15.6" x14ac:dyDescent="0.3">
      <c r="A129" s="80"/>
      <c r="B129" s="80"/>
      <c r="C129" s="80"/>
      <c r="D129" s="80"/>
      <c r="E129" s="80"/>
    </row>
    <row r="130" spans="1:5" ht="15.6" x14ac:dyDescent="0.3">
      <c r="A130" s="80"/>
      <c r="B130" s="80"/>
      <c r="C130" s="80"/>
      <c r="D130" s="80"/>
      <c r="E130" s="80"/>
    </row>
    <row r="131" spans="1:5" ht="15.6" x14ac:dyDescent="0.3">
      <c r="A131" s="80"/>
      <c r="B131" s="80"/>
      <c r="C131" s="80"/>
      <c r="D131" s="80"/>
      <c r="E131" s="80"/>
    </row>
    <row r="132" spans="1:5" ht="15.6" x14ac:dyDescent="0.3">
      <c r="A132" s="80"/>
      <c r="B132" s="80"/>
      <c r="C132" s="80"/>
      <c r="D132" s="80"/>
      <c r="E132" s="80"/>
    </row>
    <row r="133" spans="1:5" ht="15.6" x14ac:dyDescent="0.3">
      <c r="A133" s="80"/>
      <c r="B133" s="80"/>
      <c r="C133" s="80"/>
      <c r="D133" s="80"/>
      <c r="E133" s="80"/>
    </row>
    <row r="134" spans="1:5" ht="15.6" x14ac:dyDescent="0.3">
      <c r="A134" s="80"/>
      <c r="B134" s="80"/>
      <c r="C134" s="80"/>
      <c r="D134" s="80"/>
      <c r="E134" s="80"/>
    </row>
    <row r="135" spans="1:5" ht="15.6" x14ac:dyDescent="0.3">
      <c r="A135" s="80"/>
      <c r="B135" s="80"/>
      <c r="C135" s="80"/>
      <c r="D135" s="80"/>
      <c r="E135" s="80"/>
    </row>
    <row r="136" spans="1:5" ht="15.6" x14ac:dyDescent="0.3">
      <c r="A136" s="80"/>
      <c r="B136" s="80"/>
      <c r="C136" s="80"/>
      <c r="D136" s="80"/>
      <c r="E136" s="80"/>
    </row>
    <row r="137" spans="1:5" ht="15.6" x14ac:dyDescent="0.3">
      <c r="A137" s="80"/>
      <c r="B137" s="80"/>
      <c r="C137" s="80"/>
      <c r="D137" s="80"/>
      <c r="E137" s="80"/>
    </row>
    <row r="138" spans="1:5" ht="15.6" x14ac:dyDescent="0.3">
      <c r="A138" s="80"/>
      <c r="B138" s="80"/>
      <c r="C138" s="80"/>
      <c r="D138" s="80"/>
      <c r="E138" s="80"/>
    </row>
    <row r="139" spans="1:5" ht="15.6" x14ac:dyDescent="0.3">
      <c r="A139" s="80"/>
      <c r="B139" s="80"/>
      <c r="C139" s="80"/>
      <c r="D139" s="80"/>
      <c r="E139" s="80"/>
    </row>
    <row r="140" spans="1:5" ht="15.6" x14ac:dyDescent="0.3">
      <c r="A140" s="80"/>
      <c r="B140" s="80"/>
      <c r="C140" s="80"/>
      <c r="D140" s="80"/>
      <c r="E140" s="80"/>
    </row>
    <row r="141" spans="1:5" ht="15.6" x14ac:dyDescent="0.3">
      <c r="A141" s="80"/>
      <c r="B141" s="80"/>
      <c r="C141" s="80"/>
      <c r="D141" s="80"/>
      <c r="E141" s="80"/>
    </row>
    <row r="142" spans="1:5" ht="15.6" x14ac:dyDescent="0.3">
      <c r="A142" s="80"/>
      <c r="B142" s="80"/>
      <c r="C142" s="80"/>
      <c r="D142" s="80"/>
      <c r="E142" s="80"/>
    </row>
    <row r="143" spans="1:5" ht="15.6" x14ac:dyDescent="0.3">
      <c r="A143" s="80"/>
      <c r="B143" s="80"/>
      <c r="C143" s="80"/>
      <c r="D143" s="80"/>
      <c r="E143" s="80"/>
    </row>
    <row r="144" spans="1:5" ht="15.6" x14ac:dyDescent="0.3">
      <c r="A144" s="80"/>
      <c r="B144" s="80"/>
      <c r="C144" s="80"/>
      <c r="D144" s="80"/>
      <c r="E144" s="80"/>
    </row>
    <row r="145" spans="1:5" ht="15.6" x14ac:dyDescent="0.3">
      <c r="A145" s="80"/>
      <c r="B145" s="80"/>
      <c r="C145" s="80"/>
      <c r="D145" s="80"/>
      <c r="E145" s="80"/>
    </row>
    <row r="146" spans="1:5" ht="15.6" x14ac:dyDescent="0.3">
      <c r="A146" s="80"/>
      <c r="B146" s="80"/>
      <c r="C146" s="80"/>
      <c r="D146" s="80"/>
      <c r="E146" s="80"/>
    </row>
    <row r="147" spans="1:5" ht="15.6" x14ac:dyDescent="0.3">
      <c r="A147" s="80"/>
      <c r="B147" s="80"/>
      <c r="C147" s="80"/>
      <c r="D147" s="80"/>
      <c r="E147" s="80"/>
    </row>
    <row r="148" spans="1:5" ht="15.6" x14ac:dyDescent="0.3">
      <c r="A148" s="80"/>
      <c r="B148" s="80"/>
      <c r="C148" s="80"/>
      <c r="D148" s="80"/>
      <c r="E148" s="80"/>
    </row>
    <row r="149" spans="1:5" ht="15.6" x14ac:dyDescent="0.3">
      <c r="A149" s="80"/>
      <c r="B149" s="80"/>
      <c r="C149" s="80"/>
      <c r="D149" s="80"/>
      <c r="E149" s="80"/>
    </row>
    <row r="150" spans="1:5" ht="15.6" x14ac:dyDescent="0.3">
      <c r="A150" s="80"/>
      <c r="B150" s="80"/>
      <c r="C150" s="80"/>
      <c r="D150" s="80"/>
      <c r="E150" s="80"/>
    </row>
    <row r="151" spans="1:5" ht="15.6" x14ac:dyDescent="0.3">
      <c r="A151" s="80"/>
      <c r="B151" s="80"/>
      <c r="C151" s="80"/>
      <c r="D151" s="80"/>
      <c r="E151" s="80"/>
    </row>
    <row r="152" spans="1:5" ht="15.6" x14ac:dyDescent="0.3">
      <c r="A152" s="80"/>
      <c r="B152" s="80"/>
      <c r="C152" s="80"/>
      <c r="D152" s="80"/>
      <c r="E152" s="80"/>
    </row>
    <row r="153" spans="1:5" ht="15.6" x14ac:dyDescent="0.3">
      <c r="A153" s="80"/>
      <c r="B153" s="80"/>
      <c r="C153" s="80"/>
      <c r="D153" s="80"/>
      <c r="E153" s="80"/>
    </row>
    <row r="154" spans="1:5" ht="15.6" x14ac:dyDescent="0.3">
      <c r="A154" s="80"/>
      <c r="B154" s="80"/>
      <c r="C154" s="80"/>
      <c r="D154" s="80"/>
      <c r="E154" s="80"/>
    </row>
    <row r="155" spans="1:5" ht="15.6" x14ac:dyDescent="0.3">
      <c r="A155" s="80"/>
      <c r="B155" s="80"/>
      <c r="C155" s="80"/>
      <c r="D155" s="80"/>
      <c r="E155" s="80"/>
    </row>
    <row r="156" spans="1:5" ht="15.6" x14ac:dyDescent="0.3">
      <c r="A156" s="80"/>
      <c r="B156" s="80"/>
      <c r="C156" s="80"/>
      <c r="D156" s="80"/>
      <c r="E156" s="80"/>
    </row>
    <row r="157" spans="1:5" ht="15.6" x14ac:dyDescent="0.3">
      <c r="A157" s="80"/>
      <c r="B157" s="80"/>
      <c r="C157" s="80"/>
      <c r="D157" s="80"/>
      <c r="E157" s="80"/>
    </row>
    <row r="158" spans="1:5" ht="15.6" x14ac:dyDescent="0.3">
      <c r="A158" s="80"/>
      <c r="B158" s="80"/>
      <c r="C158" s="80"/>
      <c r="D158" s="80"/>
      <c r="E158" s="80"/>
    </row>
    <row r="159" spans="1:5" ht="15.6" x14ac:dyDescent="0.3">
      <c r="A159" s="80"/>
      <c r="B159" s="80"/>
      <c r="C159" s="80"/>
      <c r="D159" s="80"/>
      <c r="E159" s="80"/>
    </row>
    <row r="160" spans="1:5" ht="15.6" x14ac:dyDescent="0.3">
      <c r="A160" s="80"/>
      <c r="B160" s="80"/>
      <c r="C160" s="80"/>
      <c r="D160" s="80"/>
      <c r="E160" s="80"/>
    </row>
    <row r="161" spans="1:5" ht="15.6" x14ac:dyDescent="0.3">
      <c r="A161" s="80"/>
      <c r="B161" s="80"/>
      <c r="C161" s="80"/>
      <c r="D161" s="80"/>
      <c r="E161" s="80"/>
    </row>
    <row r="162" spans="1:5" ht="15.6" x14ac:dyDescent="0.3">
      <c r="A162" s="80"/>
      <c r="B162" s="80"/>
      <c r="C162" s="80"/>
      <c r="D162" s="80"/>
      <c r="E162" s="80"/>
    </row>
    <row r="163" spans="1:5" ht="15.6" x14ac:dyDescent="0.3">
      <c r="A163" s="80"/>
      <c r="B163" s="80"/>
      <c r="C163" s="80"/>
      <c r="D163" s="80"/>
      <c r="E163" s="80"/>
    </row>
    <row r="164" spans="1:5" ht="15.6" x14ac:dyDescent="0.3">
      <c r="A164" s="80"/>
      <c r="B164" s="80"/>
      <c r="C164" s="80"/>
      <c r="D164" s="80"/>
      <c r="E164" s="80"/>
    </row>
    <row r="165" spans="1:5" ht="15.6" x14ac:dyDescent="0.3">
      <c r="A165" s="80"/>
      <c r="B165" s="80"/>
      <c r="C165" s="80"/>
      <c r="D165" s="80"/>
      <c r="E165" s="80"/>
    </row>
    <row r="166" spans="1:5" ht="15.6" x14ac:dyDescent="0.3">
      <c r="A166" s="80"/>
      <c r="B166" s="80"/>
      <c r="C166" s="80"/>
      <c r="D166" s="80"/>
      <c r="E166" s="80"/>
    </row>
    <row r="167" spans="1:5" ht="15.6" x14ac:dyDescent="0.3">
      <c r="A167" s="80"/>
      <c r="B167" s="80"/>
      <c r="C167" s="80"/>
      <c r="D167" s="80"/>
      <c r="E167" s="80"/>
    </row>
    <row r="168" spans="1:5" ht="15.6" x14ac:dyDescent="0.3">
      <c r="A168" s="80"/>
      <c r="B168" s="80"/>
      <c r="C168" s="80"/>
      <c r="D168" s="80"/>
      <c r="E168" s="80"/>
    </row>
    <row r="169" spans="1:5" ht="15.6" x14ac:dyDescent="0.3">
      <c r="A169" s="80"/>
      <c r="B169" s="80"/>
      <c r="C169" s="80"/>
      <c r="D169" s="80"/>
      <c r="E169" s="80"/>
    </row>
    <row r="170" spans="1:5" ht="15.6" x14ac:dyDescent="0.3">
      <c r="A170" s="80"/>
      <c r="B170" s="80"/>
      <c r="C170" s="80"/>
      <c r="D170" s="80"/>
      <c r="E170" s="80"/>
    </row>
    <row r="171" spans="1:5" ht="15.6" x14ac:dyDescent="0.3">
      <c r="A171" s="80"/>
      <c r="B171" s="80"/>
      <c r="C171" s="80"/>
      <c r="D171" s="80"/>
      <c r="E171" s="80"/>
    </row>
    <row r="172" spans="1:5" ht="15.6" x14ac:dyDescent="0.3">
      <c r="A172" s="80"/>
      <c r="B172" s="80"/>
      <c r="C172" s="80"/>
      <c r="D172" s="80"/>
      <c r="E172" s="80"/>
    </row>
    <row r="173" spans="1:5" ht="15.6" x14ac:dyDescent="0.3">
      <c r="A173" s="80"/>
      <c r="B173" s="80"/>
      <c r="C173" s="80"/>
      <c r="D173" s="80"/>
      <c r="E173" s="80"/>
    </row>
    <row r="174" spans="1:5" ht="15.6" x14ac:dyDescent="0.3">
      <c r="A174" s="80"/>
      <c r="B174" s="80"/>
      <c r="C174" s="80"/>
      <c r="D174" s="80"/>
      <c r="E174" s="80"/>
    </row>
    <row r="175" spans="1:5" ht="15.6" x14ac:dyDescent="0.3">
      <c r="A175" s="80"/>
      <c r="B175" s="80"/>
      <c r="C175" s="80"/>
      <c r="D175" s="80"/>
      <c r="E175" s="80"/>
    </row>
    <row r="176" spans="1:5" ht="15.6" x14ac:dyDescent="0.3">
      <c r="A176" s="80"/>
      <c r="B176" s="80"/>
      <c r="C176" s="80"/>
      <c r="D176" s="80"/>
      <c r="E176" s="80"/>
    </row>
    <row r="177" spans="1:5" ht="15.6" x14ac:dyDescent="0.3">
      <c r="A177" s="80"/>
      <c r="B177" s="80"/>
      <c r="C177" s="80"/>
      <c r="D177" s="80"/>
      <c r="E177" s="80"/>
    </row>
    <row r="178" spans="1:5" ht="15.6" x14ac:dyDescent="0.3">
      <c r="A178" s="80"/>
      <c r="B178" s="80"/>
      <c r="C178" s="80"/>
      <c r="D178" s="80"/>
      <c r="E178" s="80"/>
    </row>
    <row r="179" spans="1:5" ht="15.6" x14ac:dyDescent="0.3">
      <c r="A179" s="80"/>
      <c r="B179" s="80"/>
      <c r="C179" s="80"/>
      <c r="D179" s="80"/>
      <c r="E179" s="80"/>
    </row>
    <row r="180" spans="1:5" ht="15.6" x14ac:dyDescent="0.3">
      <c r="A180" s="80"/>
      <c r="B180" s="80"/>
      <c r="C180" s="80"/>
      <c r="D180" s="80"/>
      <c r="E180" s="80"/>
    </row>
    <row r="181" spans="1:5" ht="15.6" x14ac:dyDescent="0.3">
      <c r="A181" s="80"/>
      <c r="B181" s="80"/>
      <c r="C181" s="80"/>
      <c r="D181" s="80"/>
      <c r="E181" s="80"/>
    </row>
    <row r="182" spans="1:5" ht="15.6" x14ac:dyDescent="0.3">
      <c r="A182" s="80"/>
      <c r="B182" s="80"/>
      <c r="C182" s="80"/>
      <c r="D182" s="80"/>
      <c r="E182" s="80"/>
    </row>
    <row r="183" spans="1:5" ht="15.6" x14ac:dyDescent="0.3">
      <c r="A183" s="80"/>
      <c r="B183" s="80"/>
      <c r="C183" s="80"/>
      <c r="D183" s="80"/>
      <c r="E183" s="80"/>
    </row>
    <row r="184" spans="1:5" ht="15.6" x14ac:dyDescent="0.3">
      <c r="A184" s="80"/>
      <c r="B184" s="80"/>
      <c r="C184" s="80"/>
      <c r="D184" s="80"/>
      <c r="E184" s="80"/>
    </row>
    <row r="185" spans="1:5" ht="15.6" x14ac:dyDescent="0.3">
      <c r="A185" s="80"/>
      <c r="B185" s="80"/>
      <c r="C185" s="80"/>
      <c r="D185" s="80"/>
      <c r="E185" s="80"/>
    </row>
    <row r="186" spans="1:5" ht="15.6" x14ac:dyDescent="0.3">
      <c r="A186" s="80"/>
      <c r="B186" s="80"/>
      <c r="C186" s="80"/>
      <c r="D186" s="80"/>
      <c r="E186" s="80"/>
    </row>
    <row r="187" spans="1:5" ht="15.6" x14ac:dyDescent="0.3">
      <c r="A187" s="80"/>
      <c r="B187" s="80"/>
      <c r="C187" s="80"/>
      <c r="D187" s="80"/>
      <c r="E187" s="80"/>
    </row>
    <row r="188" spans="1:5" ht="15.6" x14ac:dyDescent="0.3">
      <c r="A188" s="80"/>
      <c r="B188" s="80"/>
      <c r="C188" s="80"/>
      <c r="D188" s="80"/>
      <c r="E188" s="80"/>
    </row>
    <row r="189" spans="1:5" ht="15.6" x14ac:dyDescent="0.3">
      <c r="A189" s="80"/>
      <c r="B189" s="80"/>
      <c r="C189" s="80"/>
      <c r="D189" s="80"/>
      <c r="E189" s="80"/>
    </row>
    <row r="190" spans="1:5" ht="15.6" x14ac:dyDescent="0.3">
      <c r="A190" s="80"/>
      <c r="B190" s="80"/>
      <c r="C190" s="80"/>
      <c r="D190" s="80"/>
      <c r="E190" s="80"/>
    </row>
    <row r="191" spans="1:5" ht="15.6" x14ac:dyDescent="0.3">
      <c r="A191" s="80"/>
      <c r="B191" s="80"/>
      <c r="C191" s="80"/>
      <c r="D191" s="80"/>
      <c r="E191" s="80"/>
    </row>
    <row r="192" spans="1:5" ht="15.6" x14ac:dyDescent="0.3">
      <c r="A192" s="80"/>
      <c r="B192" s="80"/>
      <c r="C192" s="80"/>
      <c r="D192" s="80"/>
      <c r="E192" s="80"/>
    </row>
    <row r="193" spans="1:5" ht="15.6" x14ac:dyDescent="0.3">
      <c r="A193" s="80"/>
      <c r="B193" s="80"/>
      <c r="C193" s="80"/>
      <c r="D193" s="80"/>
      <c r="E193" s="80"/>
    </row>
    <row r="194" spans="1:5" ht="15.6" x14ac:dyDescent="0.3">
      <c r="A194" s="80"/>
      <c r="B194" s="80"/>
      <c r="C194" s="80"/>
      <c r="D194" s="80"/>
      <c r="E194" s="80"/>
    </row>
    <row r="195" spans="1:5" ht="15.6" x14ac:dyDescent="0.3">
      <c r="A195" s="80"/>
      <c r="B195" s="80"/>
      <c r="C195" s="80"/>
      <c r="D195" s="80"/>
      <c r="E195" s="80"/>
    </row>
    <row r="196" spans="1:5" ht="15.6" x14ac:dyDescent="0.3">
      <c r="A196" s="80"/>
      <c r="B196" s="80"/>
      <c r="C196" s="80"/>
      <c r="D196" s="80"/>
      <c r="E196" s="80"/>
    </row>
    <row r="197" spans="1:5" ht="15.6" x14ac:dyDescent="0.3">
      <c r="A197" s="80"/>
      <c r="B197" s="80"/>
      <c r="C197" s="80"/>
      <c r="D197" s="80"/>
      <c r="E197" s="80"/>
    </row>
    <row r="198" spans="1:5" ht="15.6" x14ac:dyDescent="0.3">
      <c r="A198" s="80"/>
      <c r="B198" s="80"/>
      <c r="C198" s="80"/>
      <c r="D198" s="80"/>
      <c r="E198" s="80"/>
    </row>
    <row r="199" spans="1:5" ht="15.6" x14ac:dyDescent="0.3">
      <c r="A199" s="80"/>
      <c r="B199" s="80"/>
      <c r="C199" s="80"/>
      <c r="D199" s="80"/>
      <c r="E199" s="80"/>
    </row>
    <row r="200" spans="1:5" ht="15.6" x14ac:dyDescent="0.3">
      <c r="A200" s="80"/>
      <c r="B200" s="80"/>
      <c r="C200" s="80"/>
      <c r="D200" s="80"/>
      <c r="E200" s="80"/>
    </row>
    <row r="201" spans="1:5" ht="15.6" x14ac:dyDescent="0.3">
      <c r="A201" s="80"/>
      <c r="B201" s="80"/>
      <c r="C201" s="80"/>
      <c r="D201" s="80"/>
      <c r="E201" s="80"/>
    </row>
    <row r="202" spans="1:5" ht="15.6" x14ac:dyDescent="0.3">
      <c r="A202" s="80"/>
      <c r="B202" s="80"/>
      <c r="C202" s="80"/>
      <c r="D202" s="80"/>
      <c r="E202" s="80"/>
    </row>
    <row r="203" spans="1:5" ht="15.6" x14ac:dyDescent="0.3">
      <c r="A203" s="80"/>
      <c r="B203" s="80"/>
      <c r="C203" s="80"/>
      <c r="D203" s="80"/>
      <c r="E203" s="80"/>
    </row>
    <row r="204" spans="1:5" ht="15.6" x14ac:dyDescent="0.3">
      <c r="A204" s="80"/>
      <c r="B204" s="80"/>
      <c r="C204" s="80"/>
      <c r="D204" s="80"/>
      <c r="E204" s="80"/>
    </row>
    <row r="205" spans="1:5" ht="15.6" x14ac:dyDescent="0.3">
      <c r="A205" s="80"/>
      <c r="B205" s="80"/>
      <c r="C205" s="80"/>
      <c r="D205" s="80"/>
      <c r="E205" s="80"/>
    </row>
    <row r="206" spans="1:5" ht="15.6" x14ac:dyDescent="0.3">
      <c r="A206" s="80"/>
      <c r="B206" s="80"/>
      <c r="C206" s="80"/>
      <c r="D206" s="80"/>
      <c r="E206" s="80"/>
    </row>
    <row r="207" spans="1:5" ht="15.6" x14ac:dyDescent="0.3">
      <c r="A207" s="80"/>
      <c r="B207" s="80"/>
      <c r="C207" s="80"/>
      <c r="D207" s="80"/>
      <c r="E207" s="80"/>
    </row>
    <row r="208" spans="1:5" ht="15.6" x14ac:dyDescent="0.3">
      <c r="A208" s="80"/>
      <c r="B208" s="80"/>
      <c r="C208" s="80"/>
      <c r="D208" s="80"/>
      <c r="E208" s="80"/>
    </row>
    <row r="209" spans="1:5" ht="15.6" x14ac:dyDescent="0.3">
      <c r="A209" s="80"/>
      <c r="B209" s="80"/>
      <c r="C209" s="80"/>
      <c r="D209" s="80"/>
      <c r="E209" s="80"/>
    </row>
    <row r="210" spans="1:5" ht="15.6" x14ac:dyDescent="0.3">
      <c r="A210" s="80"/>
      <c r="B210" s="80"/>
      <c r="C210" s="80"/>
      <c r="D210" s="80"/>
      <c r="E210" s="80"/>
    </row>
    <row r="211" spans="1:5" ht="15.6" x14ac:dyDescent="0.3">
      <c r="A211" s="80"/>
      <c r="B211" s="80"/>
      <c r="C211" s="80"/>
      <c r="D211" s="80"/>
      <c r="E211" s="80"/>
    </row>
    <row r="212" spans="1:5" ht="15.6" x14ac:dyDescent="0.3">
      <c r="A212" s="80"/>
      <c r="B212" s="80"/>
      <c r="C212" s="80"/>
      <c r="D212" s="80"/>
      <c r="E212" s="80"/>
    </row>
    <row r="213" spans="1:5" ht="15.6" x14ac:dyDescent="0.3">
      <c r="A213" s="80"/>
      <c r="B213" s="80"/>
      <c r="C213" s="80"/>
      <c r="D213" s="80"/>
      <c r="E213" s="80"/>
    </row>
    <row r="214" spans="1:5" ht="15.6" x14ac:dyDescent="0.3">
      <c r="A214" s="80"/>
      <c r="B214" s="80"/>
      <c r="C214" s="80"/>
      <c r="D214" s="80"/>
      <c r="E214" s="80"/>
    </row>
    <row r="215" spans="1:5" ht="15.6" x14ac:dyDescent="0.3">
      <c r="A215" s="80"/>
      <c r="B215" s="80"/>
      <c r="C215" s="80"/>
      <c r="D215" s="80"/>
      <c r="E215" s="80"/>
    </row>
    <row r="216" spans="1:5" ht="15.6" x14ac:dyDescent="0.3">
      <c r="A216" s="80"/>
      <c r="B216" s="80"/>
      <c r="C216" s="80"/>
      <c r="D216" s="80"/>
      <c r="E216" s="80"/>
    </row>
    <row r="217" spans="1:5" ht="15.6" x14ac:dyDescent="0.3">
      <c r="A217" s="80"/>
      <c r="B217" s="80"/>
      <c r="C217" s="80"/>
      <c r="D217" s="80"/>
      <c r="E217" s="80"/>
    </row>
    <row r="218" spans="1:5" ht="15.6" x14ac:dyDescent="0.3">
      <c r="A218" s="80"/>
      <c r="B218" s="80"/>
      <c r="C218" s="80"/>
      <c r="D218" s="80"/>
      <c r="E218" s="80"/>
    </row>
    <row r="219" spans="1:5" ht="15.6" x14ac:dyDescent="0.3">
      <c r="A219" s="80"/>
      <c r="B219" s="80"/>
      <c r="C219" s="80"/>
      <c r="D219" s="80"/>
      <c r="E219" s="80"/>
    </row>
    <row r="220" spans="1:5" ht="15.6" x14ac:dyDescent="0.3">
      <c r="A220" s="80"/>
      <c r="B220" s="80"/>
      <c r="C220" s="80"/>
      <c r="D220" s="80"/>
      <c r="E220" s="80"/>
    </row>
    <row r="221" spans="1:5" ht="15.6" x14ac:dyDescent="0.3">
      <c r="A221" s="80"/>
      <c r="B221" s="80"/>
      <c r="C221" s="80"/>
      <c r="D221" s="80"/>
      <c r="E221" s="80"/>
    </row>
    <row r="222" spans="1:5" ht="15.6" x14ac:dyDescent="0.3">
      <c r="A222" s="80"/>
      <c r="B222" s="80"/>
      <c r="C222" s="80"/>
      <c r="D222" s="80"/>
      <c r="E222" s="80"/>
    </row>
    <row r="223" spans="1:5" ht="15.6" x14ac:dyDescent="0.3">
      <c r="A223" s="80"/>
      <c r="B223" s="80"/>
      <c r="C223" s="80"/>
      <c r="D223" s="80"/>
      <c r="E223" s="80"/>
    </row>
    <row r="224" spans="1:5" ht="15.6" x14ac:dyDescent="0.3">
      <c r="A224" s="80"/>
      <c r="B224" s="80"/>
      <c r="C224" s="80"/>
      <c r="D224" s="80"/>
      <c r="E224" s="80"/>
    </row>
    <row r="225" spans="1:5" ht="15.6" x14ac:dyDescent="0.3">
      <c r="A225" s="80"/>
      <c r="B225" s="80"/>
      <c r="C225" s="80"/>
      <c r="D225" s="80"/>
      <c r="E225" s="80"/>
    </row>
    <row r="226" spans="1:5" ht="15.6" x14ac:dyDescent="0.3">
      <c r="A226" s="80"/>
      <c r="B226" s="80"/>
      <c r="C226" s="80"/>
      <c r="D226" s="80"/>
      <c r="E226" s="80"/>
    </row>
    <row r="227" spans="1:5" ht="15.6" x14ac:dyDescent="0.3">
      <c r="A227" s="80"/>
      <c r="B227" s="80"/>
      <c r="C227" s="80"/>
      <c r="D227" s="80"/>
      <c r="E227" s="80"/>
    </row>
    <row r="228" spans="1:5" ht="15.6" x14ac:dyDescent="0.3">
      <c r="A228" s="80"/>
      <c r="B228" s="80"/>
      <c r="C228" s="80"/>
      <c r="D228" s="80"/>
      <c r="E228" s="80"/>
    </row>
    <row r="229" spans="1:5" ht="15.6" x14ac:dyDescent="0.3">
      <c r="A229" s="80"/>
      <c r="B229" s="80"/>
      <c r="C229" s="80"/>
      <c r="D229" s="80"/>
      <c r="E229" s="80"/>
    </row>
    <row r="230" spans="1:5" ht="15.6" x14ac:dyDescent="0.3">
      <c r="A230" s="80"/>
      <c r="B230" s="80"/>
      <c r="C230" s="80"/>
      <c r="D230" s="80"/>
      <c r="E230" s="80"/>
    </row>
    <row r="231" spans="1:5" ht="15.6" x14ac:dyDescent="0.3">
      <c r="A231" s="80"/>
      <c r="B231" s="80"/>
      <c r="C231" s="80"/>
      <c r="D231" s="80"/>
      <c r="E231" s="80"/>
    </row>
    <row r="232" spans="1:5" ht="15.6" x14ac:dyDescent="0.3">
      <c r="A232" s="80"/>
      <c r="B232" s="80"/>
      <c r="C232" s="80"/>
      <c r="D232" s="80"/>
      <c r="E232" s="80"/>
    </row>
    <row r="233" spans="1:5" ht="15.6" x14ac:dyDescent="0.3">
      <c r="A233" s="80"/>
      <c r="B233" s="80"/>
      <c r="C233" s="80"/>
      <c r="D233" s="80"/>
      <c r="E233" s="80"/>
    </row>
    <row r="234" spans="1:5" ht="15.6" x14ac:dyDescent="0.3">
      <c r="A234" s="80"/>
      <c r="B234" s="80"/>
      <c r="C234" s="80"/>
      <c r="D234" s="80"/>
      <c r="E234" s="80"/>
    </row>
    <row r="235" spans="1:5" ht="15.6" x14ac:dyDescent="0.3">
      <c r="A235" s="80"/>
      <c r="B235" s="80"/>
      <c r="C235" s="80"/>
      <c r="D235" s="80"/>
      <c r="E235" s="80"/>
    </row>
    <row r="236" spans="1:5" ht="15.6" x14ac:dyDescent="0.3">
      <c r="A236" s="80"/>
      <c r="B236" s="80"/>
      <c r="C236" s="80"/>
      <c r="D236" s="80"/>
      <c r="E236" s="80"/>
    </row>
    <row r="237" spans="1:5" ht="15.6" x14ac:dyDescent="0.3">
      <c r="A237" s="80"/>
      <c r="B237" s="80"/>
      <c r="C237" s="80"/>
      <c r="D237" s="80"/>
      <c r="E237" s="80"/>
    </row>
    <row r="238" spans="1:5" ht="15.6" x14ac:dyDescent="0.3">
      <c r="A238" s="80"/>
      <c r="B238" s="80"/>
      <c r="C238" s="80"/>
      <c r="D238" s="80"/>
      <c r="E238" s="80"/>
    </row>
    <row r="239" spans="1:5" ht="15.6" x14ac:dyDescent="0.3">
      <c r="A239" s="80"/>
      <c r="B239" s="80"/>
      <c r="C239" s="80"/>
      <c r="D239" s="80"/>
      <c r="E239" s="80"/>
    </row>
    <row r="240" spans="1:5" ht="15.6" x14ac:dyDescent="0.3">
      <c r="A240" s="80"/>
      <c r="B240" s="80"/>
      <c r="C240" s="80"/>
      <c r="D240" s="80"/>
      <c r="E240" s="80"/>
    </row>
    <row r="241" spans="1:5" ht="15.6" x14ac:dyDescent="0.3">
      <c r="A241" s="80"/>
      <c r="B241" s="80"/>
      <c r="C241" s="80"/>
      <c r="D241" s="80"/>
      <c r="E241" s="80"/>
    </row>
    <row r="242" spans="1:5" ht="15.6" x14ac:dyDescent="0.3">
      <c r="A242" s="80"/>
      <c r="B242" s="80"/>
      <c r="C242" s="80"/>
      <c r="D242" s="80"/>
      <c r="E242" s="80"/>
    </row>
    <row r="243" spans="1:5" ht="15.6" x14ac:dyDescent="0.3">
      <c r="A243" s="80"/>
      <c r="B243" s="80"/>
      <c r="C243" s="80"/>
      <c r="D243" s="80"/>
      <c r="E243" s="80"/>
    </row>
    <row r="244" spans="1:5" ht="15.6" x14ac:dyDescent="0.3">
      <c r="A244" s="80"/>
      <c r="B244" s="80"/>
      <c r="C244" s="80"/>
      <c r="D244" s="80"/>
      <c r="E244" s="80"/>
    </row>
    <row r="245" spans="1:5" ht="15.6" x14ac:dyDescent="0.3">
      <c r="A245" s="80"/>
      <c r="B245" s="80"/>
      <c r="C245" s="80"/>
      <c r="D245" s="80"/>
      <c r="E245" s="80"/>
    </row>
    <row r="246" spans="1:5" ht="15.6" x14ac:dyDescent="0.3">
      <c r="A246" s="80"/>
      <c r="B246" s="80"/>
      <c r="C246" s="80"/>
      <c r="D246" s="80"/>
      <c r="E246" s="80"/>
    </row>
    <row r="247" spans="1:5" x14ac:dyDescent="0.3">
      <c r="A247" s="4"/>
      <c r="B247" s="4"/>
      <c r="C247" s="4"/>
      <c r="D247" s="4"/>
      <c r="E247" s="4"/>
    </row>
    <row r="248" spans="1:5" x14ac:dyDescent="0.3">
      <c r="A248" s="4"/>
      <c r="B248" s="4"/>
      <c r="C248" s="4"/>
      <c r="D248" s="4"/>
      <c r="E248" s="4"/>
    </row>
  </sheetData>
  <sheetProtection algorithmName="SHA-512" hashValue="+bsxPdSxEJTL3J5rTSmIWCjAIRDEgLlhxa8l3f89RkhLjSzERtHTF1KDT7Ie9mALsVyHJPSZahR06N8eMjZ1aw==" saltValue="+nsBcAGb0QRG1B6iYr+ylA==" spinCount="100000" sheet="1" sort="0" autoFilter="0" pivotTables="0"/>
  <autoFilter ref="A4:E69" xr:uid="{72465849-36FE-4F5B-AC32-A167C9B4500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003D-D5B7-45C5-BDCA-92BCA0099297}">
  <sheetPr codeName="Sheet6"/>
  <dimension ref="A1:M285"/>
  <sheetViews>
    <sheetView zoomScaleNormal="100" workbookViewId="0">
      <pane ySplit="3" topLeftCell="A4" activePane="bottomLeft" state="frozen"/>
      <selection activeCell="A12" sqref="A12:L22"/>
      <selection pane="bottomLeft" activeCell="F113" sqref="F113"/>
    </sheetView>
  </sheetViews>
  <sheetFormatPr defaultRowHeight="18" x14ac:dyDescent="0.35"/>
  <cols>
    <col min="1" max="1" width="23.44140625" customWidth="1"/>
    <col min="2" max="2" width="28.109375" customWidth="1"/>
    <col min="3" max="3" width="47.44140625" customWidth="1"/>
    <col min="4" max="4" width="26.6640625" customWidth="1"/>
    <col min="5" max="5" width="18.6640625" style="4" customWidth="1"/>
    <col min="6" max="6" width="18.6640625" customWidth="1"/>
    <col min="7" max="7" width="18.33203125" customWidth="1"/>
    <col min="8" max="8" width="19" style="2" customWidth="1"/>
    <col min="9" max="9" width="18.33203125" style="2" customWidth="1"/>
    <col min="10" max="10" width="18.5546875" style="2" customWidth="1"/>
    <col min="11" max="11" width="16.88671875" style="2" customWidth="1"/>
    <col min="12" max="12" width="21.33203125" customWidth="1"/>
    <col min="13" max="13" width="22.109375" style="3" customWidth="1"/>
  </cols>
  <sheetData>
    <row r="1" spans="1:13" ht="25.8" x14ac:dyDescent="0.5">
      <c r="A1" s="111" t="s">
        <v>347</v>
      </c>
      <c r="B1" s="112"/>
      <c r="C1" s="112"/>
      <c r="D1" s="46"/>
      <c r="E1" s="5">
        <v>2024</v>
      </c>
      <c r="F1" s="5">
        <v>2024</v>
      </c>
      <c r="G1" s="5">
        <v>2025</v>
      </c>
      <c r="H1" s="5">
        <v>2026</v>
      </c>
      <c r="I1" s="5">
        <v>2027</v>
      </c>
      <c r="J1" s="5">
        <v>2028</v>
      </c>
      <c r="K1" s="5">
        <v>2029</v>
      </c>
      <c r="L1" s="3"/>
    </row>
    <row r="2" spans="1:13" s="1" customFormat="1" ht="17.399999999999999" x14ac:dyDescent="0.3">
      <c r="A2" s="11"/>
      <c r="B2" s="11"/>
      <c r="C2" s="11"/>
      <c r="D2" s="11"/>
      <c r="E2" s="15" t="s">
        <v>308</v>
      </c>
      <c r="F2" s="15" t="s">
        <v>308</v>
      </c>
      <c r="G2" s="15" t="s">
        <v>309</v>
      </c>
      <c r="H2" s="15" t="s">
        <v>309</v>
      </c>
      <c r="I2" s="15" t="s">
        <v>309</v>
      </c>
      <c r="J2" s="15" t="s">
        <v>309</v>
      </c>
      <c r="K2" s="15" t="s">
        <v>309</v>
      </c>
      <c r="L2" s="11" t="s">
        <v>309</v>
      </c>
      <c r="M2" s="11"/>
    </row>
    <row r="3" spans="1:13" ht="52.2" x14ac:dyDescent="0.3">
      <c r="A3" s="11" t="s">
        <v>3</v>
      </c>
      <c r="B3" s="11" t="s">
        <v>310</v>
      </c>
      <c r="C3" s="11" t="s">
        <v>4</v>
      </c>
      <c r="D3" s="32" t="s">
        <v>317</v>
      </c>
      <c r="E3" s="18" t="s">
        <v>311</v>
      </c>
      <c r="F3" s="11" t="s">
        <v>312</v>
      </c>
      <c r="G3" s="11" t="s">
        <v>313</v>
      </c>
      <c r="H3" s="15" t="s">
        <v>314</v>
      </c>
      <c r="I3" s="15" t="s">
        <v>315</v>
      </c>
      <c r="J3" s="15" t="s">
        <v>321</v>
      </c>
      <c r="K3" s="15" t="s">
        <v>322</v>
      </c>
      <c r="L3" s="17" t="s">
        <v>345</v>
      </c>
      <c r="M3" s="15" t="s">
        <v>13</v>
      </c>
    </row>
    <row r="4" spans="1:13" x14ac:dyDescent="0.35">
      <c r="A4" s="3" t="s">
        <v>14</v>
      </c>
      <c r="B4" s="16">
        <v>4.3760292217293543E-5</v>
      </c>
      <c r="C4" s="8" t="s">
        <v>15</v>
      </c>
      <c r="D4" s="8" t="s">
        <v>337</v>
      </c>
      <c r="E4" s="19">
        <v>0</v>
      </c>
      <c r="F4" s="19">
        <v>0</v>
      </c>
      <c r="G4" s="19">
        <v>0</v>
      </c>
      <c r="H4" s="19">
        <v>0</v>
      </c>
      <c r="I4" s="19">
        <v>0</v>
      </c>
      <c r="J4" s="19">
        <v>0</v>
      </c>
      <c r="K4" s="19">
        <v>0</v>
      </c>
      <c r="L4" s="39" t="s">
        <v>346</v>
      </c>
      <c r="M4" s="7">
        <f t="shared" ref="M4:M67" si="0">SUM(E4:L4)</f>
        <v>0</v>
      </c>
    </row>
    <row r="5" spans="1:13" x14ac:dyDescent="0.35">
      <c r="A5" s="3" t="s">
        <v>16</v>
      </c>
      <c r="B5" s="16">
        <v>3.3962665995944998E-4</v>
      </c>
      <c r="C5" s="8" t="s">
        <v>17</v>
      </c>
      <c r="D5" s="33" t="str">
        <f>IF(B5&lt;0.000083,"Yes","No")</f>
        <v>No</v>
      </c>
      <c r="E5" s="19">
        <v>1457.19</v>
      </c>
      <c r="F5" s="19">
        <v>1472.62</v>
      </c>
      <c r="G5" s="19">
        <f>$B5*'Allergan Payments'!E$24</f>
        <v>1403.0432359203323</v>
      </c>
      <c r="H5" s="19">
        <f>$B5*'Allergan Payments'!F$24</f>
        <v>1403.0432359203321</v>
      </c>
      <c r="I5" s="19">
        <f>$B5*'Allergan Payments'!G$24</f>
        <v>1403.0432359749198</v>
      </c>
      <c r="J5" s="19">
        <f>$B5*'Allergan Payments'!H$24</f>
        <v>1403.0432359749198</v>
      </c>
      <c r="K5" s="19">
        <f>$B5*'Allergan Payments'!I$24</f>
        <v>1403.0432359749198</v>
      </c>
      <c r="L5" s="39" t="s">
        <v>346</v>
      </c>
      <c r="M5" s="7">
        <f t="shared" si="0"/>
        <v>9945.0261797654239</v>
      </c>
    </row>
    <row r="6" spans="1:13" x14ac:dyDescent="0.35">
      <c r="A6" s="3" t="s">
        <v>18</v>
      </c>
      <c r="B6" s="16">
        <v>9.346301204800001E-4</v>
      </c>
      <c r="C6" s="8" t="s">
        <v>18</v>
      </c>
      <c r="D6" s="33" t="str">
        <f t="shared" ref="D6:D7" si="1">IF(B6&lt;0.000083,"Yes","No")</f>
        <v>No</v>
      </c>
      <c r="E6" s="19">
        <v>4010.09</v>
      </c>
      <c r="F6" s="19">
        <v>4052.54</v>
      </c>
      <c r="G6" s="19">
        <f>$B6*'Allergan Payments'!E$24</f>
        <v>3861.0822506791319</v>
      </c>
      <c r="H6" s="19">
        <f>$B6*'Allergan Payments'!F$24</f>
        <v>3861.0822506791314</v>
      </c>
      <c r="I6" s="19">
        <f>$B6*'Allergan Payments'!G$24</f>
        <v>3861.0822508293531</v>
      </c>
      <c r="J6" s="19">
        <f>$B6*'Allergan Payments'!H$24</f>
        <v>3861.0822508293531</v>
      </c>
      <c r="K6" s="19">
        <f>$B6*'Allergan Payments'!I$24</f>
        <v>3861.0822508293527</v>
      </c>
      <c r="L6" s="39" t="s">
        <v>346</v>
      </c>
      <c r="M6" s="7">
        <f t="shared" si="0"/>
        <v>27368.041253846321</v>
      </c>
    </row>
    <row r="7" spans="1:13" x14ac:dyDescent="0.35">
      <c r="A7" s="3" t="s">
        <v>19</v>
      </c>
      <c r="B7" s="16">
        <v>8.795261608000001E-4</v>
      </c>
      <c r="C7" s="8" t="s">
        <v>19</v>
      </c>
      <c r="D7" s="33" t="str">
        <f t="shared" si="1"/>
        <v>No</v>
      </c>
      <c r="E7" s="19">
        <v>3773.66</v>
      </c>
      <c r="F7" s="19">
        <v>3813.61</v>
      </c>
      <c r="G7" s="19">
        <f>$B7*'Allergan Payments'!E$24</f>
        <v>3633.440410339856</v>
      </c>
      <c r="H7" s="19">
        <f>$B7*'Allergan Payments'!F$24</f>
        <v>3633.4404103398556</v>
      </c>
      <c r="I7" s="19">
        <f>$B7*'Allergan Payments'!G$24</f>
        <v>3633.4404104812206</v>
      </c>
      <c r="J7" s="19">
        <f>$B7*'Allergan Payments'!H$24</f>
        <v>3633.4404104812206</v>
      </c>
      <c r="K7" s="19">
        <f>$B7*'Allergan Payments'!I$24</f>
        <v>3633.4404104812202</v>
      </c>
      <c r="L7" s="39" t="s">
        <v>346</v>
      </c>
      <c r="M7" s="7">
        <f t="shared" si="0"/>
        <v>25754.472052123372</v>
      </c>
    </row>
    <row r="8" spans="1:13" x14ac:dyDescent="0.35">
      <c r="A8" s="3" t="s">
        <v>14</v>
      </c>
      <c r="B8" s="16">
        <v>1.7535336933774335E-5</v>
      </c>
      <c r="C8" s="8" t="s">
        <v>20</v>
      </c>
      <c r="D8" s="8" t="s">
        <v>337</v>
      </c>
      <c r="E8" s="19">
        <v>0</v>
      </c>
      <c r="F8" s="19">
        <v>0</v>
      </c>
      <c r="G8" s="19">
        <v>0</v>
      </c>
      <c r="H8" s="19">
        <v>0</v>
      </c>
      <c r="I8" s="19">
        <v>0</v>
      </c>
      <c r="J8" s="19">
        <v>0</v>
      </c>
      <c r="K8" s="19">
        <v>0</v>
      </c>
      <c r="L8" s="39" t="s">
        <v>346</v>
      </c>
      <c r="M8" s="7">
        <f t="shared" si="0"/>
        <v>0</v>
      </c>
    </row>
    <row r="9" spans="1:13" x14ac:dyDescent="0.35">
      <c r="A9" s="3" t="s">
        <v>21</v>
      </c>
      <c r="B9" s="16">
        <v>4.6165611941257866E-3</v>
      </c>
      <c r="C9" s="8" t="s">
        <v>21</v>
      </c>
      <c r="D9" s="33" t="str">
        <f t="shared" ref="D9:D10" si="2">IF(B9&lt;0.000083,"Yes","No")</f>
        <v>No</v>
      </c>
      <c r="E9" s="19">
        <v>19807.650000000001</v>
      </c>
      <c r="F9" s="19">
        <v>20017.34</v>
      </c>
      <c r="G9" s="19">
        <f>$B9*'Allergan Payments'!E$24</f>
        <v>19071.632825891324</v>
      </c>
      <c r="H9" s="19">
        <f>$B9*'Allergan Payments'!F$24</f>
        <v>19071.632825891324</v>
      </c>
      <c r="I9" s="19">
        <f>$B9*'Allergan Payments'!G$24</f>
        <v>19071.632826633337</v>
      </c>
      <c r="J9" s="19">
        <f>$B9*'Allergan Payments'!H$24</f>
        <v>19071.632826633337</v>
      </c>
      <c r="K9" s="19">
        <f>$B9*'Allergan Payments'!I$24</f>
        <v>19071.632826633333</v>
      </c>
      <c r="L9" s="39" t="s">
        <v>346</v>
      </c>
      <c r="M9" s="7">
        <f t="shared" si="0"/>
        <v>135183.15413168268</v>
      </c>
    </row>
    <row r="10" spans="1:13" x14ac:dyDescent="0.35">
      <c r="A10" s="3" t="s">
        <v>22</v>
      </c>
      <c r="B10" s="16">
        <v>6.4220260878837781E-4</v>
      </c>
      <c r="C10" s="8" t="s">
        <v>23</v>
      </c>
      <c r="D10" s="33" t="str">
        <f t="shared" si="2"/>
        <v>No</v>
      </c>
      <c r="E10" s="19">
        <v>2755.41</v>
      </c>
      <c r="F10" s="19">
        <v>2784.58</v>
      </c>
      <c r="G10" s="19">
        <f>$B10*'Allergan Payments'!E$24</f>
        <v>2653.0250200573332</v>
      </c>
      <c r="H10" s="19">
        <f>$B10*'Allergan Payments'!F$24</f>
        <v>2653.0250200573328</v>
      </c>
      <c r="I10" s="19">
        <f>$B10*'Allergan Payments'!G$24</f>
        <v>2653.0250201605531</v>
      </c>
      <c r="J10" s="19">
        <f>$B10*'Allergan Payments'!H$24</f>
        <v>2653.0250201605531</v>
      </c>
      <c r="K10" s="19">
        <f>$B10*'Allergan Payments'!I$24</f>
        <v>2653.0250201605527</v>
      </c>
      <c r="L10" s="39" t="s">
        <v>346</v>
      </c>
      <c r="M10" s="7">
        <f t="shared" si="0"/>
        <v>18805.115100596322</v>
      </c>
    </row>
    <row r="11" spans="1:13" x14ac:dyDescent="0.35">
      <c r="A11" s="3" t="s">
        <v>24</v>
      </c>
      <c r="B11" s="16">
        <v>4.6474904547300034E-5</v>
      </c>
      <c r="C11" s="8" t="s">
        <v>25</v>
      </c>
      <c r="D11" s="8" t="s">
        <v>337</v>
      </c>
      <c r="E11" s="19">
        <v>0</v>
      </c>
      <c r="F11" s="19">
        <v>0</v>
      </c>
      <c r="G11" s="19">
        <v>0</v>
      </c>
      <c r="H11" s="19">
        <v>0</v>
      </c>
      <c r="I11" s="19">
        <v>0</v>
      </c>
      <c r="J11" s="19">
        <v>0</v>
      </c>
      <c r="K11" s="19">
        <v>0</v>
      </c>
      <c r="L11" s="39" t="s">
        <v>346</v>
      </c>
      <c r="M11" s="7">
        <f t="shared" si="0"/>
        <v>0</v>
      </c>
    </row>
    <row r="12" spans="1:13" x14ac:dyDescent="0.35">
      <c r="A12" s="3" t="s">
        <v>26</v>
      </c>
      <c r="B12" s="16">
        <v>3.5525680747200005E-3</v>
      </c>
      <c r="C12" s="8" t="s">
        <v>26</v>
      </c>
      <c r="D12" s="33" t="str">
        <f t="shared" ref="D12:D15" si="3">IF(B12&lt;0.000083,"Yes","No")</f>
        <v>No</v>
      </c>
      <c r="E12" s="19">
        <v>15242.52</v>
      </c>
      <c r="F12" s="19">
        <v>15403.88</v>
      </c>
      <c r="G12" s="19">
        <f>$B12*'Allergan Payments'!E$24</f>
        <v>14676.134694424554</v>
      </c>
      <c r="H12" s="19">
        <f>$B12*'Allergan Payments'!F$24</f>
        <v>14676.134694424552</v>
      </c>
      <c r="I12" s="19">
        <f>$B12*'Allergan Payments'!G$24</f>
        <v>14676.134694995551</v>
      </c>
      <c r="J12" s="19">
        <f>$B12*'Allergan Payments'!H$24</f>
        <v>14676.134694995551</v>
      </c>
      <c r="K12" s="19">
        <f>$B12*'Allergan Payments'!I$24</f>
        <v>14676.13469499555</v>
      </c>
      <c r="L12" s="39" t="s">
        <v>346</v>
      </c>
      <c r="M12" s="7">
        <f t="shared" si="0"/>
        <v>104027.07347383576</v>
      </c>
    </row>
    <row r="13" spans="1:13" x14ac:dyDescent="0.35">
      <c r="A13" s="3" t="s">
        <v>14</v>
      </c>
      <c r="B13" s="16">
        <v>1.5193823261242404E-5</v>
      </c>
      <c r="C13" s="8" t="s">
        <v>27</v>
      </c>
      <c r="D13" s="33" t="str">
        <f t="shared" si="3"/>
        <v>Yes</v>
      </c>
      <c r="E13" s="19">
        <v>455.66</v>
      </c>
      <c r="F13" s="19">
        <v>0</v>
      </c>
      <c r="G13" s="52">
        <f>$B13*'Allergan Payments'!E$24</f>
        <v>62.76771958067247</v>
      </c>
      <c r="H13" s="52">
        <f>$B13*'Allergan Payments'!F$24</f>
        <v>62.767719580672463</v>
      </c>
      <c r="I13" s="52">
        <f>$B13*'Allergan Payments'!G$24</f>
        <v>62.767719583114548</v>
      </c>
      <c r="J13" s="52">
        <f>$B13*'Allergan Payments'!H$24</f>
        <v>62.767719583114548</v>
      </c>
      <c r="K13" s="52">
        <f>$B13*'Allergan Payments'!I$24</f>
        <v>62.767719583114541</v>
      </c>
      <c r="L13" s="39" t="s">
        <v>346</v>
      </c>
      <c r="M13" s="7">
        <f>E13</f>
        <v>455.66</v>
      </c>
    </row>
    <row r="14" spans="1:13" x14ac:dyDescent="0.35">
      <c r="A14" s="3" t="s">
        <v>28</v>
      </c>
      <c r="B14" s="16">
        <v>2.7679777928632894E-3</v>
      </c>
      <c r="C14" s="8" t="s">
        <v>29</v>
      </c>
      <c r="D14" s="33" t="str">
        <f t="shared" si="3"/>
        <v>No</v>
      </c>
      <c r="E14" s="19">
        <v>11876.19</v>
      </c>
      <c r="F14" s="19">
        <v>12001.91</v>
      </c>
      <c r="G14" s="19">
        <f>$B14*'Allergan Payments'!E$24</f>
        <v>11434.887119633699</v>
      </c>
      <c r="H14" s="19">
        <f>$B14*'Allergan Payments'!F$24</f>
        <v>11434.887119633699</v>
      </c>
      <c r="I14" s="19">
        <f>$B14*'Allergan Payments'!G$24</f>
        <v>11434.887120078591</v>
      </c>
      <c r="J14" s="19">
        <f>$B14*'Allergan Payments'!H$24</f>
        <v>11434.887120078591</v>
      </c>
      <c r="K14" s="19">
        <f>$B14*'Allergan Payments'!I$24</f>
        <v>11434.887120078589</v>
      </c>
      <c r="L14" s="39" t="s">
        <v>346</v>
      </c>
      <c r="M14" s="7">
        <f t="shared" si="0"/>
        <v>81052.535599503171</v>
      </c>
    </row>
    <row r="15" spans="1:13" x14ac:dyDescent="0.35">
      <c r="A15" s="3" t="s">
        <v>30</v>
      </c>
      <c r="B15" s="16">
        <v>2.6667265464000002E-3</v>
      </c>
      <c r="C15" s="8" t="s">
        <v>30</v>
      </c>
      <c r="D15" s="33" t="str">
        <f t="shared" si="3"/>
        <v>No</v>
      </c>
      <c r="E15" s="19">
        <v>11441.76</v>
      </c>
      <c r="F15" s="19">
        <v>11562.89</v>
      </c>
      <c r="G15" s="19">
        <f>$B15*'Allergan Payments'!E$24</f>
        <v>11016.604654718307</v>
      </c>
      <c r="H15" s="19">
        <f>$B15*'Allergan Payments'!F$24</f>
        <v>11016.604654718307</v>
      </c>
      <c r="I15" s="19">
        <f>$B15*'Allergan Payments'!G$24</f>
        <v>11016.604655146926</v>
      </c>
      <c r="J15" s="19">
        <f>$B15*'Allergan Payments'!H$24</f>
        <v>11016.604655146926</v>
      </c>
      <c r="K15" s="19">
        <f>$B15*'Allergan Payments'!I$24</f>
        <v>11016.604655146924</v>
      </c>
      <c r="L15" s="39" t="s">
        <v>346</v>
      </c>
      <c r="M15" s="7">
        <f t="shared" si="0"/>
        <v>78087.673274877394</v>
      </c>
    </row>
    <row r="16" spans="1:13" x14ac:dyDescent="0.35">
      <c r="A16" s="3" t="s">
        <v>31</v>
      </c>
      <c r="B16" s="16">
        <v>7.8474941674770205E-6</v>
      </c>
      <c r="C16" s="8" t="s">
        <v>32</v>
      </c>
      <c r="D16" s="8" t="s">
        <v>337</v>
      </c>
      <c r="E16" s="19">
        <v>0</v>
      </c>
      <c r="F16" s="19">
        <v>0</v>
      </c>
      <c r="G16" s="19">
        <v>0</v>
      </c>
      <c r="H16" s="19">
        <v>0</v>
      </c>
      <c r="I16" s="19">
        <v>0</v>
      </c>
      <c r="J16" s="19">
        <v>0</v>
      </c>
      <c r="K16" s="19">
        <v>0</v>
      </c>
      <c r="L16" s="39" t="s">
        <v>346</v>
      </c>
      <c r="M16" s="7">
        <f t="shared" si="0"/>
        <v>0</v>
      </c>
    </row>
    <row r="17" spans="1:13" x14ac:dyDescent="0.35">
      <c r="A17" s="3" t="s">
        <v>33</v>
      </c>
      <c r="B17" s="16">
        <v>1.8055048905600002E-3</v>
      </c>
      <c r="C17" s="8" t="s">
        <v>33</v>
      </c>
      <c r="D17" s="33" t="str">
        <f t="shared" ref="D17:D33" si="4">IF(B17&lt;0.000083,"Yes","No")</f>
        <v>No</v>
      </c>
      <c r="E17" s="19">
        <v>7746.63</v>
      </c>
      <c r="F17" s="19">
        <v>7828.64</v>
      </c>
      <c r="G17" s="19">
        <f>$B17*'Allergan Payments'!E$24</f>
        <v>7458.7826068299282</v>
      </c>
      <c r="H17" s="19">
        <f>$B17*'Allergan Payments'!F$24</f>
        <v>7458.7826068299282</v>
      </c>
      <c r="I17" s="19">
        <f>$B17*'Allergan Payments'!G$24</f>
        <v>7458.7826071201243</v>
      </c>
      <c r="J17" s="19">
        <f>$B17*'Allergan Payments'!H$24</f>
        <v>7458.7826071201243</v>
      </c>
      <c r="K17" s="19">
        <f>$B17*'Allergan Payments'!I$24</f>
        <v>7458.7826071201234</v>
      </c>
      <c r="L17" s="39" t="s">
        <v>346</v>
      </c>
      <c r="M17" s="7">
        <f t="shared" si="0"/>
        <v>52869.183035020236</v>
      </c>
    </row>
    <row r="18" spans="1:13" x14ac:dyDescent="0.35">
      <c r="A18" s="3" t="s">
        <v>34</v>
      </c>
      <c r="B18" s="16">
        <v>7.0325055618421011E-4</v>
      </c>
      <c r="C18" s="8" t="s">
        <v>35</v>
      </c>
      <c r="D18" s="33" t="str">
        <f t="shared" si="4"/>
        <v>No</v>
      </c>
      <c r="E18" s="19">
        <v>3017.34</v>
      </c>
      <c r="F18" s="19">
        <v>3049.28</v>
      </c>
      <c r="G18" s="19">
        <f>$B18*'Allergan Payments'!E$24</f>
        <v>2905.2222700340262</v>
      </c>
      <c r="H18" s="19">
        <f>$B18*'Allergan Payments'!F$24</f>
        <v>2905.2222700340258</v>
      </c>
      <c r="I18" s="19">
        <f>$B18*'Allergan Payments'!G$24</f>
        <v>2905.2222701470582</v>
      </c>
      <c r="J18" s="19">
        <f>$B18*'Allergan Payments'!H$24</f>
        <v>2905.2222701470582</v>
      </c>
      <c r="K18" s="19">
        <f>$B18*'Allergan Payments'!I$24</f>
        <v>2905.2222701470582</v>
      </c>
      <c r="L18" s="39" t="s">
        <v>346</v>
      </c>
      <c r="M18" s="7">
        <f t="shared" si="0"/>
        <v>20592.731350509232</v>
      </c>
    </row>
    <row r="19" spans="1:13" x14ac:dyDescent="0.35">
      <c r="A19" s="3" t="s">
        <v>36</v>
      </c>
      <c r="B19" s="16">
        <v>6.5282391823994206E-5</v>
      </c>
      <c r="C19" s="8" t="s">
        <v>37</v>
      </c>
      <c r="D19" s="33" t="str">
        <f t="shared" si="4"/>
        <v>Yes</v>
      </c>
      <c r="E19" s="19">
        <v>0</v>
      </c>
      <c r="F19" s="19">
        <v>0</v>
      </c>
      <c r="G19" s="52">
        <f>$B19*'Allergan Payments'!E$24</f>
        <v>269.69030724587941</v>
      </c>
      <c r="H19" s="52">
        <f>$B19*'Allergan Payments'!F$24</f>
        <v>269.69030724587935</v>
      </c>
      <c r="I19" s="52">
        <f>$B19*'Allergan Payments'!G$24</f>
        <v>269.69030725637214</v>
      </c>
      <c r="J19" s="52">
        <f>$B19*'Allergan Payments'!H$24</f>
        <v>269.69030725637214</v>
      </c>
      <c r="K19" s="52">
        <f>$B19*'Allergan Payments'!I$24</f>
        <v>269.69030725637208</v>
      </c>
      <c r="L19" s="39" t="s">
        <v>346</v>
      </c>
      <c r="M19" s="7">
        <f>E19</f>
        <v>0</v>
      </c>
    </row>
    <row r="20" spans="1:13" x14ac:dyDescent="0.35">
      <c r="A20" s="3" t="s">
        <v>38</v>
      </c>
      <c r="B20" s="16">
        <v>8.3004606496000003E-4</v>
      </c>
      <c r="C20" s="8" t="s">
        <v>38</v>
      </c>
      <c r="D20" s="33" t="str">
        <f t="shared" si="4"/>
        <v>No</v>
      </c>
      <c r="E20" s="19">
        <v>3561.37</v>
      </c>
      <c r="F20" s="19">
        <v>3599.07</v>
      </c>
      <c r="G20" s="19">
        <f>$B20*'Allergan Payments'!E$24</f>
        <v>3429.0315050163144</v>
      </c>
      <c r="H20" s="19">
        <f>$B20*'Allergan Payments'!F$24</f>
        <v>3429.031505016314</v>
      </c>
      <c r="I20" s="19">
        <f>$B20*'Allergan Payments'!G$24</f>
        <v>3429.0315051497259</v>
      </c>
      <c r="J20" s="19">
        <f>$B20*'Allergan Payments'!H$24</f>
        <v>3429.0315051497259</v>
      </c>
      <c r="K20" s="19">
        <f>$B20*'Allergan Payments'!I$24</f>
        <v>3429.0315051497255</v>
      </c>
      <c r="L20" s="39" t="s">
        <v>346</v>
      </c>
      <c r="M20" s="7">
        <f t="shared" si="0"/>
        <v>24305.597525481804</v>
      </c>
    </row>
    <row r="21" spans="1:13" x14ac:dyDescent="0.35">
      <c r="A21" s="3" t="s">
        <v>39</v>
      </c>
      <c r="B21" s="16">
        <v>2.5871914761609301E-3</v>
      </c>
      <c r="C21" s="8" t="s">
        <v>39</v>
      </c>
      <c r="D21" s="33" t="str">
        <f t="shared" si="4"/>
        <v>No</v>
      </c>
      <c r="E21" s="19">
        <v>11100.51</v>
      </c>
      <c r="F21" s="19">
        <v>11218.02</v>
      </c>
      <c r="G21" s="19">
        <f>$B21*'Allergan Payments'!E$24</f>
        <v>10688.034623347097</v>
      </c>
      <c r="H21" s="19">
        <f>$B21*'Allergan Payments'!F$24</f>
        <v>10688.034623347095</v>
      </c>
      <c r="I21" s="19">
        <f>$B21*'Allergan Payments'!G$24</f>
        <v>10688.034623762931</v>
      </c>
      <c r="J21" s="19">
        <f>$B21*'Allergan Payments'!H$24</f>
        <v>10688.034623762931</v>
      </c>
      <c r="K21" s="19">
        <f>$B21*'Allergan Payments'!I$24</f>
        <v>10688.034623762931</v>
      </c>
      <c r="L21" s="39" t="s">
        <v>346</v>
      </c>
      <c r="M21" s="7">
        <f t="shared" si="0"/>
        <v>75758.703117982979</v>
      </c>
    </row>
    <row r="22" spans="1:13" x14ac:dyDescent="0.35">
      <c r="A22" s="3" t="s">
        <v>40</v>
      </c>
      <c r="B22" s="16">
        <v>3.2146033236360054E-4</v>
      </c>
      <c r="C22" s="8" t="s">
        <v>41</v>
      </c>
      <c r="D22" s="33" t="str">
        <f t="shared" si="4"/>
        <v>No</v>
      </c>
      <c r="E22" s="19">
        <v>1379.25</v>
      </c>
      <c r="F22" s="19">
        <v>1393.85</v>
      </c>
      <c r="G22" s="19">
        <f>$B22*'Allergan Payments'!E$24</f>
        <v>1327.9957026733468</v>
      </c>
      <c r="H22" s="19">
        <f>$B22*'Allergan Payments'!F$24</f>
        <v>1327.9957026733468</v>
      </c>
      <c r="I22" s="19">
        <f>$B22*'Allergan Payments'!G$24</f>
        <v>1327.9957027250146</v>
      </c>
      <c r="J22" s="19">
        <f>$B22*'Allergan Payments'!H$24</f>
        <v>1327.9957027250146</v>
      </c>
      <c r="K22" s="19">
        <f>$B22*'Allergan Payments'!I$24</f>
        <v>1327.9957027250146</v>
      </c>
      <c r="L22" s="39" t="s">
        <v>346</v>
      </c>
      <c r="M22" s="7">
        <f t="shared" si="0"/>
        <v>9413.0785135217375</v>
      </c>
    </row>
    <row r="23" spans="1:13" x14ac:dyDescent="0.35">
      <c r="A23" s="3" t="s">
        <v>42</v>
      </c>
      <c r="B23" s="16">
        <v>2.0458170565343893E-3</v>
      </c>
      <c r="C23" s="8" t="s">
        <v>43</v>
      </c>
      <c r="D23" s="33" t="str">
        <f t="shared" si="4"/>
        <v>No</v>
      </c>
      <c r="E23" s="19">
        <v>8777.7099999999991</v>
      </c>
      <c r="F23" s="19">
        <v>8870.6299999999992</v>
      </c>
      <c r="G23" s="19">
        <f>$B23*'Allergan Payments'!E$24</f>
        <v>8451.5443618110821</v>
      </c>
      <c r="H23" s="19">
        <f>$B23*'Allergan Payments'!F$24</f>
        <v>8451.5443618110803</v>
      </c>
      <c r="I23" s="19">
        <f>$B23*'Allergan Payments'!G$24</f>
        <v>8451.5443621399027</v>
      </c>
      <c r="J23" s="19">
        <f>$B23*'Allergan Payments'!H$24</f>
        <v>8451.5443621399027</v>
      </c>
      <c r="K23" s="19">
        <f>$B23*'Allergan Payments'!I$24</f>
        <v>8451.5443621399008</v>
      </c>
      <c r="L23" s="39" t="s">
        <v>346</v>
      </c>
      <c r="M23" s="7">
        <f t="shared" si="0"/>
        <v>59906.061810041865</v>
      </c>
    </row>
    <row r="24" spans="1:13" x14ac:dyDescent="0.35">
      <c r="A24" s="3" t="s">
        <v>36</v>
      </c>
      <c r="B24" s="16">
        <v>6.8586365358145425E-4</v>
      </c>
      <c r="C24" s="8" t="s">
        <v>44</v>
      </c>
      <c r="D24" s="33" t="str">
        <f t="shared" si="4"/>
        <v>No</v>
      </c>
      <c r="E24" s="19">
        <v>2942.74</v>
      </c>
      <c r="F24" s="19">
        <v>2973.89</v>
      </c>
      <c r="G24" s="19">
        <f>$B24*'Allergan Payments'!E$24</f>
        <v>2833.3946458618989</v>
      </c>
      <c r="H24" s="19">
        <f>$B24*'Allergan Payments'!F$24</f>
        <v>2833.3946458618989</v>
      </c>
      <c r="I24" s="19">
        <f>$B24*'Allergan Payments'!G$24</f>
        <v>2833.3946459721365</v>
      </c>
      <c r="J24" s="19">
        <f>$B24*'Allergan Payments'!H$24</f>
        <v>2833.3946459721365</v>
      </c>
      <c r="K24" s="19">
        <f>$B24*'Allergan Payments'!I$24</f>
        <v>2833.3946459721365</v>
      </c>
      <c r="L24" s="39" t="s">
        <v>346</v>
      </c>
      <c r="M24" s="7">
        <f t="shared" si="0"/>
        <v>20083.603229640208</v>
      </c>
    </row>
    <row r="25" spans="1:13" x14ac:dyDescent="0.35">
      <c r="A25" s="3" t="s">
        <v>36</v>
      </c>
      <c r="B25" s="16">
        <v>1.2330105690560002E-2</v>
      </c>
      <c r="C25" s="8" t="s">
        <v>36</v>
      </c>
      <c r="D25" s="33" t="str">
        <f t="shared" si="4"/>
        <v>No</v>
      </c>
      <c r="E25" s="19">
        <v>55652.56</v>
      </c>
      <c r="F25" s="19">
        <v>53463.16</v>
      </c>
      <c r="G25" s="19">
        <f>$B25*'Allergan Payments'!E$24</f>
        <v>50937.318611526309</v>
      </c>
      <c r="H25" s="19">
        <f>$B25*'Allergan Payments'!F$24</f>
        <v>50937.318611526309</v>
      </c>
      <c r="I25" s="19">
        <f>$B25*'Allergan Payments'!G$24</f>
        <v>50937.318613508105</v>
      </c>
      <c r="J25" s="19">
        <f>$B25*'Allergan Payments'!H$24</f>
        <v>50937.318613508105</v>
      </c>
      <c r="K25" s="19">
        <f>$B25*'Allergan Payments'!I$24</f>
        <v>50937.318613508098</v>
      </c>
      <c r="L25" s="39" t="s">
        <v>346</v>
      </c>
      <c r="M25" s="7">
        <f t="shared" si="0"/>
        <v>363802.31306357688</v>
      </c>
    </row>
    <row r="26" spans="1:13" x14ac:dyDescent="0.35">
      <c r="A26" s="3" t="s">
        <v>45</v>
      </c>
      <c r="B26" s="16">
        <v>2.465424421072565E-4</v>
      </c>
      <c r="C26" s="8" t="s">
        <v>46</v>
      </c>
      <c r="D26" s="33" t="str">
        <f t="shared" si="4"/>
        <v>No</v>
      </c>
      <c r="E26" s="19">
        <v>1057.81</v>
      </c>
      <c r="F26" s="19">
        <v>1069</v>
      </c>
      <c r="G26" s="19">
        <f>$B26*'Allergan Payments'!E$24</f>
        <v>1018.4998604266418</v>
      </c>
      <c r="H26" s="19">
        <f>$B26*'Allergan Payments'!F$24</f>
        <v>1018.4998604266417</v>
      </c>
      <c r="I26" s="19">
        <f>$B26*'Allergan Payments'!G$24</f>
        <v>1018.4998604662682</v>
      </c>
      <c r="J26" s="19">
        <f>$B26*'Allergan Payments'!H$24</f>
        <v>1018.4998604662682</v>
      </c>
      <c r="K26" s="19">
        <f>$B26*'Allergan Payments'!I$24</f>
        <v>1018.499860466268</v>
      </c>
      <c r="L26" s="39" t="s">
        <v>346</v>
      </c>
      <c r="M26" s="7">
        <f t="shared" si="0"/>
        <v>7219.309302252087</v>
      </c>
    </row>
    <row r="27" spans="1:13" x14ac:dyDescent="0.35">
      <c r="A27" s="3" t="s">
        <v>47</v>
      </c>
      <c r="B27" s="16">
        <v>5.4211718464369893E-4</v>
      </c>
      <c r="C27" s="8" t="s">
        <v>48</v>
      </c>
      <c r="D27" s="33" t="str">
        <f t="shared" si="4"/>
        <v>No</v>
      </c>
      <c r="E27" s="19">
        <v>2325.9899999999998</v>
      </c>
      <c r="F27" s="19">
        <v>2350.61</v>
      </c>
      <c r="G27" s="19">
        <f>$B27*'Allergan Payments'!E$24</f>
        <v>2239.5587233385322</v>
      </c>
      <c r="H27" s="19">
        <f>$B27*'Allergan Payments'!F$24</f>
        <v>2239.5587233385322</v>
      </c>
      <c r="I27" s="19">
        <f>$B27*'Allergan Payments'!G$24</f>
        <v>2239.5587234256659</v>
      </c>
      <c r="J27" s="19">
        <f>$B27*'Allergan Payments'!H$24</f>
        <v>2239.5587234256659</v>
      </c>
      <c r="K27" s="19">
        <f>$B27*'Allergan Payments'!I$24</f>
        <v>2239.5587234256654</v>
      </c>
      <c r="L27" s="39" t="s">
        <v>346</v>
      </c>
      <c r="M27" s="7">
        <f t="shared" si="0"/>
        <v>15874.393616954061</v>
      </c>
    </row>
    <row r="28" spans="1:13" x14ac:dyDescent="0.35">
      <c r="A28" s="3" t="s">
        <v>49</v>
      </c>
      <c r="B28" s="16">
        <v>1.5597090017600002E-3</v>
      </c>
      <c r="C28" s="8" t="s">
        <v>49</v>
      </c>
      <c r="D28" s="33" t="str">
        <f t="shared" si="4"/>
        <v>No</v>
      </c>
      <c r="E28" s="19">
        <v>6692.03</v>
      </c>
      <c r="F28" s="19">
        <v>6762.88</v>
      </c>
      <c r="G28" s="19">
        <f>$B28*'Allergan Payments'!E$24</f>
        <v>6443.3668581397606</v>
      </c>
      <c r="H28" s="19">
        <f>$B28*'Allergan Payments'!F$24</f>
        <v>6443.3668581397596</v>
      </c>
      <c r="I28" s="19">
        <f>$B28*'Allergan Payments'!G$24</f>
        <v>6443.3668583904491</v>
      </c>
      <c r="J28" s="19">
        <f>$B28*'Allergan Payments'!H$24</f>
        <v>6443.3668583904491</v>
      </c>
      <c r="K28" s="19">
        <f>$B28*'Allergan Payments'!I$24</f>
        <v>6443.3668583904482</v>
      </c>
      <c r="L28" s="39" t="s">
        <v>346</v>
      </c>
      <c r="M28" s="7">
        <f t="shared" si="0"/>
        <v>45671.744291450872</v>
      </c>
    </row>
    <row r="29" spans="1:13" x14ac:dyDescent="0.35">
      <c r="A29" s="3" t="s">
        <v>34</v>
      </c>
      <c r="B29" s="16">
        <v>2.1448338308180427E-4</v>
      </c>
      <c r="C29" s="8" t="s">
        <v>50</v>
      </c>
      <c r="D29" s="33" t="str">
        <f t="shared" si="4"/>
        <v>No</v>
      </c>
      <c r="E29" s="19">
        <v>920.25</v>
      </c>
      <c r="F29" s="19">
        <v>930</v>
      </c>
      <c r="G29" s="19">
        <f>$B29*'Allergan Payments'!E$24</f>
        <v>886.0595922774869</v>
      </c>
      <c r="H29" s="19">
        <f>$B29*'Allergan Payments'!F$24</f>
        <v>886.05959227748679</v>
      </c>
      <c r="I29" s="19">
        <f>$B29*'Allergan Payments'!G$24</f>
        <v>886.05959231196039</v>
      </c>
      <c r="J29" s="19">
        <f>$B29*'Allergan Payments'!H$24</f>
        <v>886.05959231196039</v>
      </c>
      <c r="K29" s="19">
        <f>$B29*'Allergan Payments'!I$24</f>
        <v>886.05959231196027</v>
      </c>
      <c r="L29" s="39" t="s">
        <v>346</v>
      </c>
      <c r="M29" s="7">
        <f t="shared" si="0"/>
        <v>6280.5479614908545</v>
      </c>
    </row>
    <row r="30" spans="1:13" x14ac:dyDescent="0.35">
      <c r="A30" s="3" t="s">
        <v>47</v>
      </c>
      <c r="B30" s="16">
        <v>1.4353012866080001E-2</v>
      </c>
      <c r="C30" s="8" t="s">
        <v>47</v>
      </c>
      <c r="D30" s="33" t="str">
        <f t="shared" si="4"/>
        <v>No</v>
      </c>
      <c r="E30" s="19">
        <v>62134.63</v>
      </c>
      <c r="F30" s="19">
        <v>62792.41</v>
      </c>
      <c r="G30" s="19">
        <f>$B30*'Allergan Payments'!E$24</f>
        <v>59294.219185370872</v>
      </c>
      <c r="H30" s="19">
        <f>$B30*'Allergan Payments'!F$24</f>
        <v>59294.219185370865</v>
      </c>
      <c r="I30" s="19">
        <f>$B30*'Allergan Payments'!G$24</f>
        <v>59294.219187677802</v>
      </c>
      <c r="J30" s="19">
        <f>$B30*'Allergan Payments'!H$24</f>
        <v>59294.219187677802</v>
      </c>
      <c r="K30" s="19">
        <f>$B30*'Allergan Payments'!I$24</f>
        <v>59294.219187677794</v>
      </c>
      <c r="L30" s="39" t="s">
        <v>346</v>
      </c>
      <c r="M30" s="7">
        <f t="shared" si="0"/>
        <v>421398.13593377511</v>
      </c>
    </row>
    <row r="31" spans="1:13" x14ac:dyDescent="0.35">
      <c r="A31" s="3" t="s">
        <v>34</v>
      </c>
      <c r="B31" s="16">
        <v>2.7489343219674764E-4</v>
      </c>
      <c r="C31" s="8" t="s">
        <v>51</v>
      </c>
      <c r="D31" s="33" t="str">
        <f t="shared" si="4"/>
        <v>No</v>
      </c>
      <c r="E31" s="19">
        <v>1179.45</v>
      </c>
      <c r="F31" s="19">
        <v>1191.93</v>
      </c>
      <c r="G31" s="19">
        <f>$B31*'Allergan Payments'!E$24</f>
        <v>1135.6215989893749</v>
      </c>
      <c r="H31" s="19">
        <f>$B31*'Allergan Payments'!F$24</f>
        <v>1135.6215989893747</v>
      </c>
      <c r="I31" s="19">
        <f>$B31*'Allergan Payments'!G$24</f>
        <v>1135.6215990335579</v>
      </c>
      <c r="J31" s="19">
        <f>$B31*'Allergan Payments'!H$24</f>
        <v>1135.6215990335579</v>
      </c>
      <c r="K31" s="19">
        <f>$B31*'Allergan Payments'!I$24</f>
        <v>1135.6215990335579</v>
      </c>
      <c r="L31" s="39" t="s">
        <v>346</v>
      </c>
      <c r="M31" s="7">
        <f t="shared" si="0"/>
        <v>8049.4879950794229</v>
      </c>
    </row>
    <row r="32" spans="1:13" x14ac:dyDescent="0.35">
      <c r="A32" s="3" t="s">
        <v>52</v>
      </c>
      <c r="B32" s="16">
        <v>1.4644445099620517E-4</v>
      </c>
      <c r="C32" s="8" t="s">
        <v>53</v>
      </c>
      <c r="D32" s="33" t="str">
        <f t="shared" si="4"/>
        <v>No</v>
      </c>
      <c r="E32" s="19">
        <v>628.33000000000004</v>
      </c>
      <c r="F32" s="19">
        <v>634.98</v>
      </c>
      <c r="G32" s="19">
        <f>$B32*'Allergan Payments'!E$24</f>
        <v>604.98164788601764</v>
      </c>
      <c r="H32" s="19">
        <f>$B32*'Allergan Payments'!F$24</f>
        <v>604.98164788601764</v>
      </c>
      <c r="I32" s="19">
        <f>$B32*'Allergan Payments'!G$24</f>
        <v>604.98164790955536</v>
      </c>
      <c r="J32" s="19">
        <f>$B32*'Allergan Payments'!H$24</f>
        <v>604.98164790955536</v>
      </c>
      <c r="K32" s="19">
        <f>$B32*'Allergan Payments'!I$24</f>
        <v>604.98164790955536</v>
      </c>
      <c r="L32" s="39" t="s">
        <v>346</v>
      </c>
      <c r="M32" s="7">
        <f t="shared" si="0"/>
        <v>4288.2182395007012</v>
      </c>
    </row>
    <row r="33" spans="1:13" x14ac:dyDescent="0.35">
      <c r="A33" s="3" t="s">
        <v>34</v>
      </c>
      <c r="B33" s="16">
        <v>6.1607165089975981E-4</v>
      </c>
      <c r="C33" s="8" t="s">
        <v>54</v>
      </c>
      <c r="D33" s="33" t="str">
        <f t="shared" si="4"/>
        <v>No</v>
      </c>
      <c r="E33" s="19">
        <v>2643.29</v>
      </c>
      <c r="F33" s="19">
        <v>2671.28</v>
      </c>
      <c r="G33" s="19">
        <f>$B33*'Allergan Payments'!E$24</f>
        <v>2545.0745319592493</v>
      </c>
      <c r="H33" s="19">
        <f>$B33*'Allergan Payments'!F$24</f>
        <v>2545.0745319592493</v>
      </c>
      <c r="I33" s="19">
        <f>$B33*'Allergan Payments'!G$24</f>
        <v>2545.0745320582696</v>
      </c>
      <c r="J33" s="19">
        <f>$B33*'Allergan Payments'!H$24</f>
        <v>2545.0745320582696</v>
      </c>
      <c r="K33" s="19">
        <f>$B33*'Allergan Payments'!I$24</f>
        <v>2545.0745320582691</v>
      </c>
      <c r="L33" s="39" t="s">
        <v>346</v>
      </c>
      <c r="M33" s="7">
        <f t="shared" si="0"/>
        <v>18039.942660093307</v>
      </c>
    </row>
    <row r="34" spans="1:13" x14ac:dyDescent="0.35">
      <c r="A34" s="3" t="s">
        <v>55</v>
      </c>
      <c r="B34" s="16">
        <v>0</v>
      </c>
      <c r="C34" s="8" t="s">
        <v>56</v>
      </c>
      <c r="D34" s="8" t="s">
        <v>338</v>
      </c>
      <c r="E34" s="19">
        <v>0</v>
      </c>
      <c r="F34" s="19">
        <v>0</v>
      </c>
      <c r="G34" s="19">
        <v>0</v>
      </c>
      <c r="H34" s="19">
        <v>0</v>
      </c>
      <c r="I34" s="19">
        <v>0</v>
      </c>
      <c r="J34" s="19">
        <v>0</v>
      </c>
      <c r="K34" s="19">
        <v>0</v>
      </c>
      <c r="L34" s="39" t="s">
        <v>346</v>
      </c>
      <c r="M34" s="7">
        <f t="shared" si="0"/>
        <v>0</v>
      </c>
    </row>
    <row r="35" spans="1:13" x14ac:dyDescent="0.35">
      <c r="A35" s="3" t="s">
        <v>34</v>
      </c>
      <c r="B35" s="16">
        <v>1.4314410402168545E-3</v>
      </c>
      <c r="C35" s="8" t="s">
        <v>57</v>
      </c>
      <c r="D35" s="33" t="str">
        <f t="shared" ref="D35:D40" si="5">IF(B35&lt;0.000083,"Yes","No")</f>
        <v>No</v>
      </c>
      <c r="E35" s="19">
        <v>6141.69</v>
      </c>
      <c r="F35" s="19">
        <v>6206.71</v>
      </c>
      <c r="G35" s="19">
        <f>$B35*'Allergan Payments'!E$24</f>
        <v>5913.4747234943616</v>
      </c>
      <c r="H35" s="19">
        <f>$B35*'Allergan Payments'!F$24</f>
        <v>5913.4747234943607</v>
      </c>
      <c r="I35" s="19">
        <f>$B35*'Allergan Payments'!G$24</f>
        <v>5913.4747237244346</v>
      </c>
      <c r="J35" s="19">
        <f>$B35*'Allergan Payments'!H$24</f>
        <v>5913.4747237244346</v>
      </c>
      <c r="K35" s="19">
        <f>$B35*'Allergan Payments'!I$24</f>
        <v>5913.4747237244337</v>
      </c>
      <c r="L35" s="39" t="s">
        <v>346</v>
      </c>
      <c r="M35" s="7">
        <f t="shared" si="0"/>
        <v>41915.773618162028</v>
      </c>
    </row>
    <row r="36" spans="1:13" x14ac:dyDescent="0.35">
      <c r="A36" s="3" t="s">
        <v>58</v>
      </c>
      <c r="B36" s="16">
        <v>3.8230209662400007E-3</v>
      </c>
      <c r="C36" s="8" t="s">
        <v>58</v>
      </c>
      <c r="D36" s="33" t="str">
        <f t="shared" si="5"/>
        <v>No</v>
      </c>
      <c r="E36" s="19">
        <v>16402.919999999998</v>
      </c>
      <c r="F36" s="19">
        <v>16576.560000000001</v>
      </c>
      <c r="G36" s="19">
        <f>$B36*'Allergan Payments'!E$24</f>
        <v>15793.411824928788</v>
      </c>
      <c r="H36" s="19">
        <f>$B36*'Allergan Payments'!F$24</f>
        <v>15793.411824928786</v>
      </c>
      <c r="I36" s="19">
        <f>$B36*'Allergan Payments'!G$24</f>
        <v>15793.411825543255</v>
      </c>
      <c r="J36" s="19">
        <f>$B36*'Allergan Payments'!H$24</f>
        <v>15793.411825543255</v>
      </c>
      <c r="K36" s="19">
        <f>$B36*'Allergan Payments'!I$24</f>
        <v>15793.411825543253</v>
      </c>
      <c r="L36" s="39" t="s">
        <v>346</v>
      </c>
      <c r="M36" s="7">
        <f t="shared" si="0"/>
        <v>111946.53912648733</v>
      </c>
    </row>
    <row r="37" spans="1:13" x14ac:dyDescent="0.35">
      <c r="A37" s="3" t="s">
        <v>34</v>
      </c>
      <c r="B37" s="16">
        <v>1.7834819854661442E-4</v>
      </c>
      <c r="C37" s="8" t="s">
        <v>59</v>
      </c>
      <c r="D37" s="33" t="str">
        <f t="shared" si="5"/>
        <v>No</v>
      </c>
      <c r="E37" s="19">
        <v>765.21</v>
      </c>
      <c r="F37" s="19">
        <v>773.32</v>
      </c>
      <c r="G37" s="19">
        <f>$B37*'Allergan Payments'!E$24</f>
        <v>736.78030352293388</v>
      </c>
      <c r="H37" s="19">
        <f>$B37*'Allergan Payments'!F$24</f>
        <v>736.78030352293376</v>
      </c>
      <c r="I37" s="19">
        <f>$B37*'Allergan Payments'!G$24</f>
        <v>736.78030355159945</v>
      </c>
      <c r="J37" s="19">
        <f>$B37*'Allergan Payments'!H$24</f>
        <v>736.78030355159945</v>
      </c>
      <c r="K37" s="19">
        <f>$B37*'Allergan Payments'!I$24</f>
        <v>736.78030355159933</v>
      </c>
      <c r="L37" s="39" t="s">
        <v>346</v>
      </c>
      <c r="M37" s="7">
        <f t="shared" si="0"/>
        <v>5222.4315177006656</v>
      </c>
    </row>
    <row r="38" spans="1:13" x14ac:dyDescent="0.35">
      <c r="A38" s="3" t="s">
        <v>60</v>
      </c>
      <c r="B38" s="16">
        <v>6.0493406028165334E-6</v>
      </c>
      <c r="C38" s="8" t="s">
        <v>61</v>
      </c>
      <c r="D38" s="33" t="str">
        <f t="shared" si="5"/>
        <v>Yes</v>
      </c>
      <c r="E38" s="19">
        <v>181.42</v>
      </c>
      <c r="F38" s="19">
        <v>0</v>
      </c>
      <c r="G38" s="52">
        <f>$B38*'Allergan Payments'!E$24</f>
        <v>24.990636528867707</v>
      </c>
      <c r="H38" s="52">
        <f>$B38*'Allergan Payments'!F$24</f>
        <v>24.990636528867707</v>
      </c>
      <c r="I38" s="52">
        <f>$B38*'Allergan Payments'!G$24</f>
        <v>24.990636529840007</v>
      </c>
      <c r="J38" s="52">
        <f>$B38*'Allergan Payments'!H$24</f>
        <v>24.990636529840007</v>
      </c>
      <c r="K38" s="52">
        <f>$B38*'Allergan Payments'!I$24</f>
        <v>24.990636529840003</v>
      </c>
      <c r="L38" s="39" t="s">
        <v>346</v>
      </c>
      <c r="M38" s="7">
        <f>E38</f>
        <v>181.42</v>
      </c>
    </row>
    <row r="39" spans="1:13" x14ac:dyDescent="0.35">
      <c r="A39" s="3" t="s">
        <v>22</v>
      </c>
      <c r="B39" s="16">
        <v>6.1860133563783337E-4</v>
      </c>
      <c r="C39" s="8" t="s">
        <v>62</v>
      </c>
      <c r="D39" s="33" t="str">
        <f t="shared" si="5"/>
        <v>No</v>
      </c>
      <c r="E39" s="19">
        <v>2654.15</v>
      </c>
      <c r="F39" s="19">
        <v>2682.25</v>
      </c>
      <c r="G39" s="19">
        <f>$B39*'Allergan Payments'!E$24</f>
        <v>2555.524998542729</v>
      </c>
      <c r="H39" s="19">
        <f>$B39*'Allergan Payments'!F$24</f>
        <v>2555.5249985427286</v>
      </c>
      <c r="I39" s="19">
        <f>$B39*'Allergan Payments'!G$24</f>
        <v>2555.5249986421554</v>
      </c>
      <c r="J39" s="19">
        <f>$B39*'Allergan Payments'!H$24</f>
        <v>2555.5249986421554</v>
      </c>
      <c r="K39" s="19">
        <f>$B39*'Allergan Payments'!I$24</f>
        <v>2555.5249986421554</v>
      </c>
      <c r="L39" s="39" t="s">
        <v>346</v>
      </c>
      <c r="M39" s="7">
        <f t="shared" si="0"/>
        <v>18114.024993011924</v>
      </c>
    </row>
    <row r="40" spans="1:13" x14ac:dyDescent="0.35">
      <c r="A40" s="3" t="s">
        <v>63</v>
      </c>
      <c r="B40" s="16">
        <v>1.9828741491205145E-4</v>
      </c>
      <c r="C40" s="8" t="s">
        <v>64</v>
      </c>
      <c r="D40" s="33" t="str">
        <f t="shared" si="5"/>
        <v>No</v>
      </c>
      <c r="E40" s="19">
        <v>850.76</v>
      </c>
      <c r="F40" s="19">
        <v>859.77</v>
      </c>
      <c r="G40" s="19">
        <f>$B40*'Allergan Payments'!E$24</f>
        <v>819.15187781106124</v>
      </c>
      <c r="H40" s="19">
        <f>$B40*'Allergan Payments'!F$24</f>
        <v>819.15187781106113</v>
      </c>
      <c r="I40" s="19">
        <f>$B40*'Allergan Payments'!G$24</f>
        <v>819.15187784293164</v>
      </c>
      <c r="J40" s="19">
        <f>$B40*'Allergan Payments'!H$24</f>
        <v>819.15187784293164</v>
      </c>
      <c r="K40" s="19">
        <f>$B40*'Allergan Payments'!I$24</f>
        <v>819.15187784293153</v>
      </c>
      <c r="L40" s="39" t="s">
        <v>346</v>
      </c>
      <c r="M40" s="7">
        <f t="shared" si="0"/>
        <v>5806.2893891509175</v>
      </c>
    </row>
    <row r="41" spans="1:13" x14ac:dyDescent="0.35">
      <c r="A41" s="3" t="s">
        <v>14</v>
      </c>
      <c r="B41" s="16">
        <v>8.5803473491828175E-5</v>
      </c>
      <c r="C41" s="8" t="s">
        <v>65</v>
      </c>
      <c r="D41" s="8" t="s">
        <v>337</v>
      </c>
      <c r="E41" s="19">
        <v>0</v>
      </c>
      <c r="F41" s="19">
        <v>0</v>
      </c>
      <c r="G41" s="19">
        <v>0</v>
      </c>
      <c r="H41" s="19">
        <v>0</v>
      </c>
      <c r="I41" s="19">
        <v>0</v>
      </c>
      <c r="J41" s="19">
        <v>0</v>
      </c>
      <c r="K41" s="19">
        <v>0</v>
      </c>
      <c r="L41" s="39" t="s">
        <v>346</v>
      </c>
      <c r="M41" s="7">
        <f t="shared" si="0"/>
        <v>0</v>
      </c>
    </row>
    <row r="42" spans="1:13" x14ac:dyDescent="0.35">
      <c r="A42" s="3" t="s">
        <v>66</v>
      </c>
      <c r="B42" s="16">
        <v>5.9285718408623813E-4</v>
      </c>
      <c r="C42" s="8" t="s">
        <v>67</v>
      </c>
      <c r="D42" s="33" t="str">
        <f t="shared" ref="D42:D57" si="6">IF(B42&lt;0.000083,"Yes","No")</f>
        <v>No</v>
      </c>
      <c r="E42" s="19">
        <v>2543.69</v>
      </c>
      <c r="F42" s="19">
        <v>2570.62</v>
      </c>
      <c r="G42" s="19">
        <f>$B42*'Allergan Payments'!E$24</f>
        <v>2449.1724592477094</v>
      </c>
      <c r="H42" s="19">
        <f>$B42*'Allergan Payments'!F$24</f>
        <v>2449.172459247709</v>
      </c>
      <c r="I42" s="19">
        <f>$B42*'Allergan Payments'!G$24</f>
        <v>2449.1724593429981</v>
      </c>
      <c r="J42" s="19">
        <f>$B42*'Allergan Payments'!H$24</f>
        <v>2449.1724593429981</v>
      </c>
      <c r="K42" s="19">
        <f>$B42*'Allergan Payments'!I$24</f>
        <v>2449.1724593429981</v>
      </c>
      <c r="L42" s="39" t="s">
        <v>346</v>
      </c>
      <c r="M42" s="7">
        <f t="shared" si="0"/>
        <v>17360.172296524412</v>
      </c>
    </row>
    <row r="43" spans="1:13" x14ac:dyDescent="0.35">
      <c r="A43" s="3" t="s">
        <v>14</v>
      </c>
      <c r="B43" s="16">
        <v>2.7577829756919563E-5</v>
      </c>
      <c r="C43" s="8" t="s">
        <v>68</v>
      </c>
      <c r="D43" s="33" t="str">
        <f t="shared" si="6"/>
        <v>Yes</v>
      </c>
      <c r="E43" s="19">
        <v>827.06</v>
      </c>
      <c r="F43" s="19">
        <v>0</v>
      </c>
      <c r="G43" s="52">
        <f>$B43*'Allergan Payments'!E$24</f>
        <v>113.92770963983871</v>
      </c>
      <c r="H43" s="52">
        <f>$B43*'Allergan Payments'!F$24</f>
        <v>113.9277096398387</v>
      </c>
      <c r="I43" s="52">
        <f>$B43*'Allergan Payments'!G$24</f>
        <v>113.92770964427125</v>
      </c>
      <c r="J43" s="52">
        <f>$B43*'Allergan Payments'!H$24</f>
        <v>113.92770964427125</v>
      </c>
      <c r="K43" s="52">
        <f>$B43*'Allergan Payments'!I$24</f>
        <v>113.92770964427123</v>
      </c>
      <c r="L43" s="39" t="s">
        <v>346</v>
      </c>
      <c r="M43" s="7">
        <f>E43</f>
        <v>827.06</v>
      </c>
    </row>
    <row r="44" spans="1:13" x14ac:dyDescent="0.35">
      <c r="A44" s="3" t="s">
        <v>42</v>
      </c>
      <c r="B44" s="16">
        <v>1.8505476605280003E-2</v>
      </c>
      <c r="C44" s="8" t="s">
        <v>42</v>
      </c>
      <c r="D44" s="33" t="str">
        <f t="shared" si="6"/>
        <v>No</v>
      </c>
      <c r="E44" s="19">
        <v>79398.929999999993</v>
      </c>
      <c r="F44" s="19">
        <v>80239.47</v>
      </c>
      <c r="G44" s="19">
        <f>$B44*'Allergan Payments'!E$24</f>
        <v>76448.603244574653</v>
      </c>
      <c r="H44" s="19">
        <f>$B44*'Allergan Payments'!F$24</f>
        <v>76448.603244574653</v>
      </c>
      <c r="I44" s="19">
        <f>$B44*'Allergan Payments'!G$24</f>
        <v>76448.603247549006</v>
      </c>
      <c r="J44" s="19">
        <f>$B44*'Allergan Payments'!H$24</f>
        <v>76448.603247549006</v>
      </c>
      <c r="K44" s="19">
        <f>$B44*'Allergan Payments'!I$24</f>
        <v>76448.603247548992</v>
      </c>
      <c r="L44" s="39" t="s">
        <v>346</v>
      </c>
      <c r="M44" s="7">
        <f t="shared" si="0"/>
        <v>541881.41623179638</v>
      </c>
    </row>
    <row r="45" spans="1:13" x14ac:dyDescent="0.35">
      <c r="A45" s="3" t="s">
        <v>14</v>
      </c>
      <c r="B45" s="16">
        <v>3.3093395469285523E-5</v>
      </c>
      <c r="C45" s="8" t="s">
        <v>69</v>
      </c>
      <c r="D45" s="33" t="str">
        <f t="shared" si="6"/>
        <v>Yes</v>
      </c>
      <c r="E45" s="19">
        <v>992.47</v>
      </c>
      <c r="F45" s="19">
        <v>0</v>
      </c>
      <c r="G45" s="52">
        <f>$B45*'Allergan Payments'!E$24</f>
        <v>136.71325058039127</v>
      </c>
      <c r="H45" s="52">
        <f>$B45*'Allergan Payments'!F$24</f>
        <v>136.71325058039125</v>
      </c>
      <c r="I45" s="52">
        <f>$B45*'Allergan Payments'!G$24</f>
        <v>136.71325058571031</v>
      </c>
      <c r="J45" s="52">
        <f>$B45*'Allergan Payments'!H$24</f>
        <v>136.71325058571031</v>
      </c>
      <c r="K45" s="52">
        <f>$B45*'Allergan Payments'!I$24</f>
        <v>136.71325058571028</v>
      </c>
      <c r="L45" s="39" t="s">
        <v>346</v>
      </c>
      <c r="M45" s="7">
        <f>E45</f>
        <v>992.47</v>
      </c>
    </row>
    <row r="46" spans="1:13" x14ac:dyDescent="0.35">
      <c r="A46" s="3" t="s">
        <v>22</v>
      </c>
      <c r="B46" s="16">
        <v>2.6353816720000004E-3</v>
      </c>
      <c r="C46" s="8" t="s">
        <v>70</v>
      </c>
      <c r="D46" s="33" t="str">
        <f t="shared" si="6"/>
        <v>No</v>
      </c>
      <c r="E46" s="19">
        <v>11307.27</v>
      </c>
      <c r="F46" s="19">
        <v>11426.98</v>
      </c>
      <c r="G46" s="19">
        <f>$B46*'Allergan Payments'!E$24</f>
        <v>10887.114778944295</v>
      </c>
      <c r="H46" s="19">
        <f>$B46*'Allergan Payments'!F$24</f>
        <v>10887.114778944293</v>
      </c>
      <c r="I46" s="19">
        <f>$B46*'Allergan Payments'!G$24</f>
        <v>10887.114779367874</v>
      </c>
      <c r="J46" s="19">
        <f>$B46*'Allergan Payments'!H$24</f>
        <v>10887.114779367874</v>
      </c>
      <c r="K46" s="19">
        <f>$B46*'Allergan Payments'!I$24</f>
        <v>10887.114779367874</v>
      </c>
      <c r="L46" s="39" t="s">
        <v>346</v>
      </c>
      <c r="M46" s="7">
        <f t="shared" si="0"/>
        <v>77169.823895992202</v>
      </c>
    </row>
    <row r="47" spans="1:13" x14ac:dyDescent="0.35">
      <c r="A47" s="3" t="s">
        <v>14</v>
      </c>
      <c r="B47" s="16">
        <v>1.211863496205807E-4</v>
      </c>
      <c r="C47" s="8" t="s">
        <v>71</v>
      </c>
      <c r="D47" s="33" t="str">
        <f t="shared" si="6"/>
        <v>No</v>
      </c>
      <c r="E47" s="19">
        <v>519.96</v>
      </c>
      <c r="F47" s="19">
        <v>525.46</v>
      </c>
      <c r="G47" s="19">
        <f>$B47*'Allergan Payments'!E$24</f>
        <v>500.63704698957707</v>
      </c>
      <c r="H47" s="19">
        <f>$B47*'Allergan Payments'!F$24</f>
        <v>500.63704698957702</v>
      </c>
      <c r="I47" s="19">
        <f>$B47*'Allergan Payments'!G$24</f>
        <v>500.63704700905515</v>
      </c>
      <c r="J47" s="19">
        <f>$B47*'Allergan Payments'!H$24</f>
        <v>500.63704700905515</v>
      </c>
      <c r="K47" s="19">
        <f>$B47*'Allergan Payments'!I$24</f>
        <v>500.6370470090551</v>
      </c>
      <c r="L47" s="39" t="s">
        <v>346</v>
      </c>
      <c r="M47" s="7">
        <f t="shared" si="0"/>
        <v>3548.6052350063196</v>
      </c>
    </row>
    <row r="48" spans="1:13" x14ac:dyDescent="0.35">
      <c r="A48" s="3" t="s">
        <v>72</v>
      </c>
      <c r="B48" s="16">
        <v>4.1274553924800002E-3</v>
      </c>
      <c r="C48" s="8" t="s">
        <v>72</v>
      </c>
      <c r="D48" s="33" t="str">
        <f t="shared" si="6"/>
        <v>No</v>
      </c>
      <c r="E48" s="19">
        <v>17709.11</v>
      </c>
      <c r="F48" s="19">
        <v>17896.59</v>
      </c>
      <c r="G48" s="19">
        <f>$B48*'Allergan Payments'!E$24</f>
        <v>17051.071228252182</v>
      </c>
      <c r="H48" s="19">
        <f>$B48*'Allergan Payments'!F$24</f>
        <v>17051.071228252178</v>
      </c>
      <c r="I48" s="19">
        <f>$B48*'Allergan Payments'!G$24</f>
        <v>17051.071228915578</v>
      </c>
      <c r="J48" s="19">
        <f>$B48*'Allergan Payments'!H$24</f>
        <v>17051.071228915578</v>
      </c>
      <c r="K48" s="19">
        <f>$B48*'Allergan Payments'!I$24</f>
        <v>17051.071228915578</v>
      </c>
      <c r="L48" s="39" t="s">
        <v>346</v>
      </c>
      <c r="M48" s="7">
        <f t="shared" si="0"/>
        <v>120861.05614325109</v>
      </c>
    </row>
    <row r="49" spans="1:13" x14ac:dyDescent="0.35">
      <c r="A49" s="3" t="s">
        <v>73</v>
      </c>
      <c r="B49" s="16">
        <v>2.1428580409600002E-3</v>
      </c>
      <c r="C49" s="8" t="s">
        <v>73</v>
      </c>
      <c r="D49" s="33" t="str">
        <f t="shared" si="6"/>
        <v>No</v>
      </c>
      <c r="E49" s="19">
        <v>9194.07</v>
      </c>
      <c r="F49" s="19">
        <v>9291.4</v>
      </c>
      <c r="G49" s="19">
        <f>$B49*'Allergan Payments'!E$24</f>
        <v>8852.4336701523644</v>
      </c>
      <c r="H49" s="19">
        <f>$B49*'Allergan Payments'!F$24</f>
        <v>8852.4336701523625</v>
      </c>
      <c r="I49" s="19">
        <f>$B49*'Allergan Payments'!G$24</f>
        <v>8852.4336704967809</v>
      </c>
      <c r="J49" s="19">
        <f>$B49*'Allergan Payments'!H$24</f>
        <v>8852.4336704967809</v>
      </c>
      <c r="K49" s="19">
        <f>$B49*'Allergan Payments'!I$24</f>
        <v>8852.4336704967809</v>
      </c>
      <c r="L49" s="39" t="s">
        <v>346</v>
      </c>
      <c r="M49" s="7">
        <f t="shared" si="0"/>
        <v>62747.638351795067</v>
      </c>
    </row>
    <row r="50" spans="1:13" x14ac:dyDescent="0.35">
      <c r="A50" s="3" t="s">
        <v>74</v>
      </c>
      <c r="B50" s="16">
        <v>3.1672388092800004E-3</v>
      </c>
      <c r="C50" s="8" t="s">
        <v>74</v>
      </c>
      <c r="D50" s="33" t="str">
        <f t="shared" si="6"/>
        <v>No</v>
      </c>
      <c r="E50" s="19">
        <v>13589.24</v>
      </c>
      <c r="F50" s="19">
        <v>13733.1</v>
      </c>
      <c r="G50" s="19">
        <f>$B50*'Allergan Payments'!E$24</f>
        <v>13084.287871968709</v>
      </c>
      <c r="H50" s="19">
        <f>$B50*'Allergan Payments'!F$24</f>
        <v>13084.287871968707</v>
      </c>
      <c r="I50" s="19">
        <f>$B50*'Allergan Payments'!G$24</f>
        <v>13084.287872477773</v>
      </c>
      <c r="J50" s="19">
        <f>$B50*'Allergan Payments'!H$24</f>
        <v>13084.287872477773</v>
      </c>
      <c r="K50" s="19">
        <f>$B50*'Allergan Payments'!I$24</f>
        <v>13084.287872477771</v>
      </c>
      <c r="L50" s="39" t="s">
        <v>346</v>
      </c>
      <c r="M50" s="7">
        <f t="shared" si="0"/>
        <v>92743.779361370733</v>
      </c>
    </row>
    <row r="51" spans="1:13" x14ac:dyDescent="0.35">
      <c r="A51" s="3" t="s">
        <v>75</v>
      </c>
      <c r="B51" s="16">
        <v>1.2625116440371095E-3</v>
      </c>
      <c r="C51" s="8" t="s">
        <v>76</v>
      </c>
      <c r="D51" s="33" t="str">
        <f t="shared" si="6"/>
        <v>No</v>
      </c>
      <c r="E51" s="19">
        <v>5416.89</v>
      </c>
      <c r="F51" s="19">
        <v>5474.23</v>
      </c>
      <c r="G51" s="19">
        <f>$B51*'Allergan Payments'!E$24</f>
        <v>5215.6047544925286</v>
      </c>
      <c r="H51" s="19">
        <f>$B51*'Allergan Payments'!F$24</f>
        <v>5215.6047544925286</v>
      </c>
      <c r="I51" s="19">
        <f>$B51*'Allergan Payments'!G$24</f>
        <v>5215.6047546954505</v>
      </c>
      <c r="J51" s="19">
        <f>$B51*'Allergan Payments'!H$24</f>
        <v>5215.6047546954505</v>
      </c>
      <c r="K51" s="19">
        <f>$B51*'Allergan Payments'!I$24</f>
        <v>5215.6047546954496</v>
      </c>
      <c r="L51" s="39" t="s">
        <v>346</v>
      </c>
      <c r="M51" s="7">
        <f t="shared" si="0"/>
        <v>36969.143773071402</v>
      </c>
    </row>
    <row r="52" spans="1:13" x14ac:dyDescent="0.35">
      <c r="A52" s="3" t="s">
        <v>77</v>
      </c>
      <c r="B52" s="16">
        <v>2.6802056915200003E-3</v>
      </c>
      <c r="C52" s="8" t="s">
        <v>77</v>
      </c>
      <c r="D52" s="33" t="str">
        <f t="shared" si="6"/>
        <v>No</v>
      </c>
      <c r="E52" s="19">
        <v>11499.59</v>
      </c>
      <c r="F52" s="19">
        <v>11621.33</v>
      </c>
      <c r="G52" s="19">
        <f>$B52*'Allergan Payments'!E$24</f>
        <v>11072.288809162668</v>
      </c>
      <c r="H52" s="19">
        <f>$B52*'Allergan Payments'!F$24</f>
        <v>11072.288809162668</v>
      </c>
      <c r="I52" s="19">
        <f>$B52*'Allergan Payments'!G$24</f>
        <v>11072.288809593454</v>
      </c>
      <c r="J52" s="19">
        <f>$B52*'Allergan Payments'!H$24</f>
        <v>11072.288809593454</v>
      </c>
      <c r="K52" s="19">
        <f>$B52*'Allergan Payments'!I$24</f>
        <v>11072.288809593452</v>
      </c>
      <c r="L52" s="39" t="s">
        <v>346</v>
      </c>
      <c r="M52" s="7">
        <f t="shared" si="0"/>
        <v>78482.364047105686</v>
      </c>
    </row>
    <row r="53" spans="1:13" x14ac:dyDescent="0.35">
      <c r="A53" s="3" t="s">
        <v>78</v>
      </c>
      <c r="B53" s="16">
        <v>2.7998174328112426E-3</v>
      </c>
      <c r="C53" s="8" t="s">
        <v>78</v>
      </c>
      <c r="D53" s="33" t="str">
        <f t="shared" si="6"/>
        <v>No</v>
      </c>
      <c r="E53" s="19">
        <v>12012.8</v>
      </c>
      <c r="F53" s="19">
        <v>12139.97</v>
      </c>
      <c r="G53" s="19">
        <f>$B53*'Allergan Payments'!E$24</f>
        <v>11566.420938175648</v>
      </c>
      <c r="H53" s="19">
        <f>$B53*'Allergan Payments'!F$24</f>
        <v>11566.420938175646</v>
      </c>
      <c r="I53" s="19">
        <f>$B53*'Allergan Payments'!G$24</f>
        <v>11566.420938625657</v>
      </c>
      <c r="J53" s="19">
        <f>$B53*'Allergan Payments'!H$24</f>
        <v>11566.420938625657</v>
      </c>
      <c r="K53" s="19">
        <f>$B53*'Allergan Payments'!I$24</f>
        <v>11566.420938625657</v>
      </c>
      <c r="L53" s="39" t="s">
        <v>346</v>
      </c>
      <c r="M53" s="7">
        <f t="shared" si="0"/>
        <v>81984.874692228259</v>
      </c>
    </row>
    <row r="54" spans="1:13" x14ac:dyDescent="0.35">
      <c r="A54" s="3" t="s">
        <v>34</v>
      </c>
      <c r="B54" s="16">
        <v>1.3949733207608273E-4</v>
      </c>
      <c r="C54" s="8" t="s">
        <v>79</v>
      </c>
      <c r="D54" s="33" t="str">
        <f t="shared" si="6"/>
        <v>No</v>
      </c>
      <c r="E54" s="19">
        <v>598.52</v>
      </c>
      <c r="F54" s="19">
        <v>604.86</v>
      </c>
      <c r="G54" s="19">
        <f>$B54*'Allergan Payments'!E$24</f>
        <v>576.2821688428362</v>
      </c>
      <c r="H54" s="19">
        <f>$B54*'Allergan Payments'!F$24</f>
        <v>576.2821688428362</v>
      </c>
      <c r="I54" s="19">
        <f>$B54*'Allergan Payments'!G$24</f>
        <v>576.2821688652574</v>
      </c>
      <c r="J54" s="19">
        <f>$B54*'Allergan Payments'!H$24</f>
        <v>576.2821688652574</v>
      </c>
      <c r="K54" s="19">
        <f>$B54*'Allergan Payments'!I$24</f>
        <v>576.28216886525729</v>
      </c>
      <c r="L54" s="39" t="s">
        <v>346</v>
      </c>
      <c r="M54" s="7">
        <f t="shared" si="0"/>
        <v>4084.7908442814451</v>
      </c>
    </row>
    <row r="55" spans="1:13" x14ac:dyDescent="0.35">
      <c r="A55" s="3" t="s">
        <v>75</v>
      </c>
      <c r="B55" s="16">
        <v>6.5243179433600003E-3</v>
      </c>
      <c r="C55" s="8" t="s">
        <v>80</v>
      </c>
      <c r="D55" s="33" t="str">
        <f t="shared" si="6"/>
        <v>No</v>
      </c>
      <c r="E55" s="19">
        <v>27993</v>
      </c>
      <c r="F55" s="19">
        <v>39712.78</v>
      </c>
      <c r="G55" s="19">
        <f>$B55*'Allergan Payments'!E$24</f>
        <v>26952.831560743318</v>
      </c>
      <c r="H55" s="19">
        <f>$B55*'Allergan Payments'!F$24</f>
        <v>26952.831560743314</v>
      </c>
      <c r="I55" s="19">
        <f>$B55*'Allergan Payments'!G$24</f>
        <v>26952.831561791958</v>
      </c>
      <c r="J55" s="19">
        <f>$B55*'Allergan Payments'!H$24</f>
        <v>26952.831561791958</v>
      </c>
      <c r="K55" s="19">
        <f>$B55*'Allergan Payments'!I$24</f>
        <v>26952.831561791954</v>
      </c>
      <c r="L55" s="39" t="s">
        <v>346</v>
      </c>
      <c r="M55" s="7">
        <f t="shared" si="0"/>
        <v>202469.93780686246</v>
      </c>
    </row>
    <row r="56" spans="1:13" x14ac:dyDescent="0.35">
      <c r="A56" s="3" t="s">
        <v>40</v>
      </c>
      <c r="B56" s="16">
        <v>5.4026690121600001E-3</v>
      </c>
      <c r="C56" s="8" t="s">
        <v>40</v>
      </c>
      <c r="D56" s="33" t="str">
        <f t="shared" si="6"/>
        <v>No</v>
      </c>
      <c r="E56" s="19">
        <v>23180.5</v>
      </c>
      <c r="F56" s="19">
        <v>23425.89</v>
      </c>
      <c r="G56" s="19">
        <f>$B56*'Allergan Payments'!E$24</f>
        <v>22319.14954595294</v>
      </c>
      <c r="H56" s="19">
        <f>$B56*'Allergan Payments'!F$24</f>
        <v>22319.149545952936</v>
      </c>
      <c r="I56" s="19">
        <f>$B56*'Allergan Payments'!G$24</f>
        <v>22319.1495468213</v>
      </c>
      <c r="J56" s="19">
        <f>$B56*'Allergan Payments'!H$24</f>
        <v>22319.1495468213</v>
      </c>
      <c r="K56" s="19">
        <f>$B56*'Allergan Payments'!I$24</f>
        <v>22319.1495468213</v>
      </c>
      <c r="L56" s="39" t="s">
        <v>346</v>
      </c>
      <c r="M56" s="7">
        <f t="shared" si="0"/>
        <v>158202.1377323698</v>
      </c>
    </row>
    <row r="57" spans="1:13" x14ac:dyDescent="0.35">
      <c r="A57" s="3" t="s">
        <v>58</v>
      </c>
      <c r="B57" s="16">
        <v>7.7283577009453522E-5</v>
      </c>
      <c r="C57" s="8" t="s">
        <v>81</v>
      </c>
      <c r="D57" s="33" t="str">
        <f t="shared" si="6"/>
        <v>Yes</v>
      </c>
      <c r="E57" s="19">
        <v>2317.73</v>
      </c>
      <c r="F57" s="19">
        <v>0</v>
      </c>
      <c r="G57" s="52">
        <f>$B57*'Allergan Payments'!E$24</f>
        <v>319.26881118163169</v>
      </c>
      <c r="H57" s="52">
        <f>$B57*'Allergan Payments'!F$24</f>
        <v>319.26881118163163</v>
      </c>
      <c r="I57" s="52">
        <f>$B57*'Allergan Payments'!G$24</f>
        <v>319.26881119405334</v>
      </c>
      <c r="J57" s="52">
        <f>$B57*'Allergan Payments'!H$24</f>
        <v>319.26881119405334</v>
      </c>
      <c r="K57" s="52">
        <f>$B57*'Allergan Payments'!I$24</f>
        <v>319.26881119405328</v>
      </c>
      <c r="L57" s="39" t="s">
        <v>346</v>
      </c>
      <c r="M57" s="7">
        <f>E57</f>
        <v>2317.73</v>
      </c>
    </row>
    <row r="58" spans="1:13" x14ac:dyDescent="0.35">
      <c r="A58" s="3" t="s">
        <v>34</v>
      </c>
      <c r="B58" s="16">
        <v>1.9885436190897308E-4</v>
      </c>
      <c r="C58" s="8" t="s">
        <v>82</v>
      </c>
      <c r="D58" s="8" t="s">
        <v>337</v>
      </c>
      <c r="E58" s="19">
        <v>0</v>
      </c>
      <c r="F58" s="19">
        <v>0</v>
      </c>
      <c r="G58" s="19">
        <v>0</v>
      </c>
      <c r="H58" s="19">
        <v>0</v>
      </c>
      <c r="I58" s="19">
        <v>0</v>
      </c>
      <c r="J58" s="19">
        <v>0</v>
      </c>
      <c r="K58" s="19">
        <v>0</v>
      </c>
      <c r="L58" s="39" t="s">
        <v>346</v>
      </c>
      <c r="M58" s="7">
        <f t="shared" si="0"/>
        <v>0</v>
      </c>
    </row>
    <row r="59" spans="1:13" x14ac:dyDescent="0.35">
      <c r="A59" s="3" t="s">
        <v>83</v>
      </c>
      <c r="B59" s="16">
        <v>8.4518667745893796E-5</v>
      </c>
      <c r="C59" s="8" t="s">
        <v>84</v>
      </c>
      <c r="D59" s="33" t="str">
        <f t="shared" ref="D59:D98" si="7">IF(B59&lt;0.000083,"Yes","No")</f>
        <v>No</v>
      </c>
      <c r="E59" s="19">
        <v>362.63</v>
      </c>
      <c r="F59" s="19">
        <v>366.47</v>
      </c>
      <c r="G59" s="19">
        <f>$B59*'Allergan Payments'!E$24</f>
        <v>349.15794038086591</v>
      </c>
      <c r="H59" s="19">
        <f>$B59*'Allergan Payments'!F$24</f>
        <v>349.15794038086585</v>
      </c>
      <c r="I59" s="19">
        <f>$B59*'Allergan Payments'!G$24</f>
        <v>349.15794039445041</v>
      </c>
      <c r="J59" s="19">
        <f>$B59*'Allergan Payments'!H$24</f>
        <v>349.15794039445041</v>
      </c>
      <c r="K59" s="19">
        <f>$B59*'Allergan Payments'!I$24</f>
        <v>349.15794039445035</v>
      </c>
      <c r="L59" s="39" t="s">
        <v>346</v>
      </c>
      <c r="M59" s="7">
        <f t="shared" si="0"/>
        <v>2474.8897019450828</v>
      </c>
    </row>
    <row r="60" spans="1:13" x14ac:dyDescent="0.35">
      <c r="A60" s="3" t="s">
        <v>83</v>
      </c>
      <c r="B60" s="16">
        <v>9.5907662226293643E-6</v>
      </c>
      <c r="C60" s="8" t="s">
        <v>85</v>
      </c>
      <c r="D60" s="33" t="str">
        <f t="shared" si="7"/>
        <v>Yes</v>
      </c>
      <c r="E60" s="19">
        <v>287.63</v>
      </c>
      <c r="F60" s="19">
        <v>0</v>
      </c>
      <c r="G60" s="52">
        <f>$B60*'Allergan Payments'!E$24</f>
        <v>39.620740249189943</v>
      </c>
      <c r="H60" s="52">
        <f>$B60*'Allergan Payments'!F$24</f>
        <v>39.620740249189936</v>
      </c>
      <c r="I60" s="52">
        <f>$B60*'Allergan Payments'!G$24</f>
        <v>39.620740250731444</v>
      </c>
      <c r="J60" s="52">
        <f>$B60*'Allergan Payments'!H$24</f>
        <v>39.620740250731444</v>
      </c>
      <c r="K60" s="52">
        <f>$B60*'Allergan Payments'!I$24</f>
        <v>39.620740250731444</v>
      </c>
      <c r="L60" s="39" t="s">
        <v>346</v>
      </c>
      <c r="M60" s="7">
        <f>E60</f>
        <v>287.63</v>
      </c>
    </row>
    <row r="61" spans="1:13" x14ac:dyDescent="0.35">
      <c r="A61" s="3" t="s">
        <v>86</v>
      </c>
      <c r="B61" s="16">
        <v>2.88625325072E-3</v>
      </c>
      <c r="C61" s="8" t="s">
        <v>86</v>
      </c>
      <c r="D61" s="33" t="str">
        <f t="shared" si="7"/>
        <v>No</v>
      </c>
      <c r="E61" s="19">
        <v>12383.65</v>
      </c>
      <c r="F61" s="19">
        <v>12514.75</v>
      </c>
      <c r="G61" s="19">
        <f>$B61*'Allergan Payments'!E$24</f>
        <v>11923.498882741611</v>
      </c>
      <c r="H61" s="19">
        <f>$B61*'Allergan Payments'!F$24</f>
        <v>11923.498882741609</v>
      </c>
      <c r="I61" s="19">
        <f>$B61*'Allergan Payments'!G$24</f>
        <v>11923.498883205513</v>
      </c>
      <c r="J61" s="19">
        <f>$B61*'Allergan Payments'!H$24</f>
        <v>11923.498883205513</v>
      </c>
      <c r="K61" s="19">
        <f>$B61*'Allergan Payments'!I$24</f>
        <v>11923.498883205511</v>
      </c>
      <c r="L61" s="39" t="s">
        <v>346</v>
      </c>
      <c r="M61" s="7">
        <f t="shared" si="0"/>
        <v>84515.894415099756</v>
      </c>
    </row>
    <row r="62" spans="1:13" x14ac:dyDescent="0.35">
      <c r="A62" s="3" t="s">
        <v>63</v>
      </c>
      <c r="B62" s="16">
        <v>8.8446355339343792E-5</v>
      </c>
      <c r="C62" s="8" t="s">
        <v>87</v>
      </c>
      <c r="D62" s="33" t="str">
        <f t="shared" si="7"/>
        <v>No</v>
      </c>
      <c r="E62" s="19">
        <v>379.48</v>
      </c>
      <c r="F62" s="19">
        <v>0</v>
      </c>
      <c r="G62" s="19">
        <f>$B62*'Allergan Payments'!E$24</f>
        <v>365.38374406617191</v>
      </c>
      <c r="H62" s="19">
        <f>$B62*'Allergan Payments'!F$24</f>
        <v>365.38374406617191</v>
      </c>
      <c r="I62" s="19">
        <f>$B62*'Allergan Payments'!G$24</f>
        <v>365.38374408038777</v>
      </c>
      <c r="J62" s="19">
        <f>$B62*'Allergan Payments'!H$24</f>
        <v>365.38374408038777</v>
      </c>
      <c r="K62" s="19">
        <f>$B62*'Allergan Payments'!I$24</f>
        <v>365.38374408038771</v>
      </c>
      <c r="L62" s="39" t="s">
        <v>346</v>
      </c>
      <c r="M62" s="7">
        <f t="shared" si="0"/>
        <v>2206.3987203735069</v>
      </c>
    </row>
    <row r="63" spans="1:13" x14ac:dyDescent="0.35">
      <c r="A63" s="3" t="s">
        <v>22</v>
      </c>
      <c r="B63" s="16">
        <v>2.9965833191952238E-3</v>
      </c>
      <c r="C63" s="8" t="s">
        <v>88</v>
      </c>
      <c r="D63" s="33" t="str">
        <f t="shared" si="7"/>
        <v>No</v>
      </c>
      <c r="E63" s="19">
        <v>12857.03</v>
      </c>
      <c r="F63" s="19">
        <v>12993.14</v>
      </c>
      <c r="G63" s="19">
        <f>$B63*'Allergan Payments'!E$24</f>
        <v>12379.287177780852</v>
      </c>
      <c r="H63" s="19">
        <f>$B63*'Allergan Payments'!F$24</f>
        <v>12379.28717778085</v>
      </c>
      <c r="I63" s="19">
        <f>$B63*'Allergan Payments'!G$24</f>
        <v>12379.287178262488</v>
      </c>
      <c r="J63" s="19">
        <f>$B63*'Allergan Payments'!H$24</f>
        <v>12379.287178262488</v>
      </c>
      <c r="K63" s="19">
        <f>$B63*'Allergan Payments'!I$24</f>
        <v>12379.287178262486</v>
      </c>
      <c r="L63" s="39" t="s">
        <v>346</v>
      </c>
      <c r="M63" s="7">
        <f t="shared" si="0"/>
        <v>87746.605890349165</v>
      </c>
    </row>
    <row r="64" spans="1:13" x14ac:dyDescent="0.35">
      <c r="A64" s="3" t="s">
        <v>22</v>
      </c>
      <c r="B64" s="16">
        <v>1.053620174976995E-3</v>
      </c>
      <c r="C64" s="8" t="s">
        <v>89</v>
      </c>
      <c r="D64" s="33" t="str">
        <f t="shared" si="7"/>
        <v>No</v>
      </c>
      <c r="E64" s="19">
        <v>4520.62</v>
      </c>
      <c r="F64" s="19">
        <v>4568.4799999999996</v>
      </c>
      <c r="G64" s="19">
        <f>$B64*'Allergan Payments'!E$24</f>
        <v>4352.6461082506585</v>
      </c>
      <c r="H64" s="19">
        <f>$B64*'Allergan Payments'!F$24</f>
        <v>4352.6461082506585</v>
      </c>
      <c r="I64" s="19">
        <f>$B64*'Allergan Payments'!G$24</f>
        <v>4352.6461084200055</v>
      </c>
      <c r="J64" s="19">
        <f>$B64*'Allergan Payments'!H$24</f>
        <v>4352.6461084200055</v>
      </c>
      <c r="K64" s="19">
        <f>$B64*'Allergan Payments'!I$24</f>
        <v>4352.6461084200046</v>
      </c>
      <c r="L64" s="39" t="s">
        <v>346</v>
      </c>
      <c r="M64" s="7">
        <f t="shared" si="0"/>
        <v>30852.33054176133</v>
      </c>
    </row>
    <row r="65" spans="1:13" x14ac:dyDescent="0.35">
      <c r="A65" s="3" t="s">
        <v>90</v>
      </c>
      <c r="B65" s="16">
        <v>1.9675310549654214E-4</v>
      </c>
      <c r="C65" s="8" t="s">
        <v>91</v>
      </c>
      <c r="D65" s="33" t="str">
        <f t="shared" si="7"/>
        <v>No</v>
      </c>
      <c r="E65" s="19">
        <v>844.18</v>
      </c>
      <c r="F65" s="19">
        <v>853.12</v>
      </c>
      <c r="G65" s="19">
        <f>$B65*'Allergan Payments'!E$24</f>
        <v>812.81344004679318</v>
      </c>
      <c r="H65" s="19">
        <f>$B65*'Allergan Payments'!F$24</f>
        <v>812.81344004679306</v>
      </c>
      <c r="I65" s="19">
        <f>$B65*'Allergan Payments'!G$24</f>
        <v>812.81344007841687</v>
      </c>
      <c r="J65" s="19">
        <f>$B65*'Allergan Payments'!H$24</f>
        <v>812.81344007841687</v>
      </c>
      <c r="K65" s="19">
        <f>$B65*'Allergan Payments'!I$24</f>
        <v>812.81344007841687</v>
      </c>
      <c r="L65" s="39" t="s">
        <v>346</v>
      </c>
      <c r="M65" s="7">
        <f t="shared" si="0"/>
        <v>5761.3672003288357</v>
      </c>
    </row>
    <row r="66" spans="1:13" x14ac:dyDescent="0.35">
      <c r="A66" s="3" t="s">
        <v>92</v>
      </c>
      <c r="B66" s="16">
        <v>4.0553892204887014E-4</v>
      </c>
      <c r="C66" s="8" t="s">
        <v>93</v>
      </c>
      <c r="D66" s="33" t="str">
        <f t="shared" si="7"/>
        <v>No</v>
      </c>
      <c r="E66" s="19">
        <v>1739.99</v>
      </c>
      <c r="F66" s="19">
        <v>1758.41</v>
      </c>
      <c r="G66" s="19">
        <f>$B66*'Allergan Payments'!E$24</f>
        <v>1675.3356216235352</v>
      </c>
      <c r="H66" s="19">
        <f>$B66*'Allergan Payments'!F$24</f>
        <v>1675.335621623535</v>
      </c>
      <c r="I66" s="19">
        <f>$B66*'Allergan Payments'!G$24</f>
        <v>1675.3356216887166</v>
      </c>
      <c r="J66" s="19">
        <f>$B66*'Allergan Payments'!H$24</f>
        <v>1675.3356216887166</v>
      </c>
      <c r="K66" s="19">
        <f>$B66*'Allergan Payments'!I$24</f>
        <v>1675.3356216887166</v>
      </c>
      <c r="L66" s="39" t="s">
        <v>346</v>
      </c>
      <c r="M66" s="7">
        <f t="shared" si="0"/>
        <v>11875.078108313221</v>
      </c>
    </row>
    <row r="67" spans="1:13" x14ac:dyDescent="0.35">
      <c r="A67" s="3" t="s">
        <v>94</v>
      </c>
      <c r="B67" s="16">
        <v>2.6044851582400002E-3</v>
      </c>
      <c r="C67" s="8" t="s">
        <v>94</v>
      </c>
      <c r="D67" s="33" t="str">
        <f t="shared" si="7"/>
        <v>No</v>
      </c>
      <c r="E67" s="19">
        <v>11174.71</v>
      </c>
      <c r="F67" s="19">
        <v>11293.01</v>
      </c>
      <c r="G67" s="19">
        <f>$B67*'Allergan Payments'!E$24</f>
        <v>10759.477141046071</v>
      </c>
      <c r="H67" s="19">
        <f>$B67*'Allergan Payments'!F$24</f>
        <v>10759.477141046069</v>
      </c>
      <c r="I67" s="19">
        <f>$B67*'Allergan Payments'!G$24</f>
        <v>10759.477141464684</v>
      </c>
      <c r="J67" s="19">
        <f>$B67*'Allergan Payments'!H$24</f>
        <v>10759.477141464684</v>
      </c>
      <c r="K67" s="19">
        <f>$B67*'Allergan Payments'!I$24</f>
        <v>10759.477141464682</v>
      </c>
      <c r="L67" s="39" t="s">
        <v>346</v>
      </c>
      <c r="M67" s="7">
        <f t="shared" si="0"/>
        <v>76265.105706486182</v>
      </c>
    </row>
    <row r="68" spans="1:13" x14ac:dyDescent="0.35">
      <c r="A68" s="3" t="s">
        <v>22</v>
      </c>
      <c r="B68" s="16">
        <v>7.1316532282240011E-2</v>
      </c>
      <c r="C68" s="8" t="s">
        <v>95</v>
      </c>
      <c r="D68" s="33" t="str">
        <f t="shared" si="7"/>
        <v>No</v>
      </c>
      <c r="E68" s="19">
        <v>305988.13</v>
      </c>
      <c r="F68" s="19">
        <v>362108.77</v>
      </c>
      <c r="G68" s="19">
        <f>$B68*'Allergan Payments'!E$24</f>
        <v>294618.14994099003</v>
      </c>
      <c r="H68" s="19">
        <f>$B68*'Allergan Payments'!F$24</f>
        <v>294618.14994098997</v>
      </c>
      <c r="I68" s="19">
        <f>$B68*'Allergan Payments'!G$24</f>
        <v>294618.14995245257</v>
      </c>
      <c r="J68" s="19">
        <f>$B68*'Allergan Payments'!H$24</f>
        <v>294618.14995245257</v>
      </c>
      <c r="K68" s="19">
        <f>$B68*'Allergan Payments'!I$24</f>
        <v>294618.14995245257</v>
      </c>
      <c r="L68" s="39" t="s">
        <v>346</v>
      </c>
      <c r="M68" s="7">
        <f t="shared" ref="M68:M131" si="8">SUM(E68:L68)</f>
        <v>2141187.6497393376</v>
      </c>
    </row>
    <row r="69" spans="1:13" x14ac:dyDescent="0.35">
      <c r="A69" s="3" t="s">
        <v>22</v>
      </c>
      <c r="B69" s="16">
        <v>0</v>
      </c>
      <c r="C69" s="8" t="s">
        <v>96</v>
      </c>
      <c r="D69" s="33" t="str">
        <f t="shared" si="7"/>
        <v>Yes</v>
      </c>
      <c r="E69" s="19">
        <v>0</v>
      </c>
      <c r="F69" s="19">
        <v>0</v>
      </c>
      <c r="G69" s="52">
        <f>$B69*'Allergan Payments'!E$24</f>
        <v>0</v>
      </c>
      <c r="H69" s="52">
        <f>$B69*'Allergan Payments'!F$24</f>
        <v>0</v>
      </c>
      <c r="I69" s="52">
        <f>$B69*'Allergan Payments'!G$24</f>
        <v>0</v>
      </c>
      <c r="J69" s="52">
        <f>$B69*'Allergan Payments'!H$24</f>
        <v>0</v>
      </c>
      <c r="K69" s="52">
        <f>$B69*'Allergan Payments'!I$24</f>
        <v>0</v>
      </c>
      <c r="L69" s="39" t="s">
        <v>346</v>
      </c>
      <c r="M69" s="7">
        <f>E69</f>
        <v>0</v>
      </c>
    </row>
    <row r="70" spans="1:13" x14ac:dyDescent="0.35">
      <c r="A70" s="3" t="s">
        <v>40</v>
      </c>
      <c r="B70" s="16">
        <v>3.6770177791889988E-4</v>
      </c>
      <c r="C70" s="8" t="s">
        <v>97</v>
      </c>
      <c r="D70" s="33" t="str">
        <f t="shared" si="7"/>
        <v>No</v>
      </c>
      <c r="E70" s="19">
        <v>1577.65</v>
      </c>
      <c r="F70" s="19">
        <v>1594.35</v>
      </c>
      <c r="G70" s="19">
        <f>$B70*'Allergan Payments'!E$24</f>
        <v>1519.0253097521531</v>
      </c>
      <c r="H70" s="19">
        <f>$B70*'Allergan Payments'!F$24</f>
        <v>1519.0253097521529</v>
      </c>
      <c r="I70" s="19">
        <f>$B70*'Allergan Payments'!G$24</f>
        <v>1519.025309811253</v>
      </c>
      <c r="J70" s="19">
        <f>$B70*'Allergan Payments'!H$24</f>
        <v>1519.025309811253</v>
      </c>
      <c r="K70" s="19">
        <f>$B70*'Allergan Payments'!I$24</f>
        <v>1519.025309811253</v>
      </c>
      <c r="L70" s="39" t="s">
        <v>346</v>
      </c>
      <c r="M70" s="7">
        <f t="shared" si="8"/>
        <v>10767.126548938066</v>
      </c>
    </row>
    <row r="71" spans="1:13" x14ac:dyDescent="0.35">
      <c r="A71" s="3" t="s">
        <v>98</v>
      </c>
      <c r="B71" s="16">
        <v>2.7729291699199999E-3</v>
      </c>
      <c r="C71" s="8" t="s">
        <v>98</v>
      </c>
      <c r="D71" s="33" t="str">
        <f t="shared" si="7"/>
        <v>No</v>
      </c>
      <c r="E71" s="19">
        <v>11897.43</v>
      </c>
      <c r="F71" s="19">
        <v>12023.38</v>
      </c>
      <c r="G71" s="19">
        <f>$B71*'Allergan Payments'!E$24</f>
        <v>11455.341921646999</v>
      </c>
      <c r="H71" s="19">
        <f>$B71*'Allergan Payments'!F$24</f>
        <v>11455.341921646997</v>
      </c>
      <c r="I71" s="19">
        <f>$B71*'Allergan Payments'!G$24</f>
        <v>11455.341922092686</v>
      </c>
      <c r="J71" s="19">
        <f>$B71*'Allergan Payments'!H$24</f>
        <v>11455.341922092686</v>
      </c>
      <c r="K71" s="19">
        <f>$B71*'Allergan Payments'!I$24</f>
        <v>11455.341922092684</v>
      </c>
      <c r="L71" s="39" t="s">
        <v>346</v>
      </c>
      <c r="M71" s="7">
        <f t="shared" si="8"/>
        <v>81197.51960957206</v>
      </c>
    </row>
    <row r="72" spans="1:13" x14ac:dyDescent="0.35">
      <c r="A72" s="3" t="s">
        <v>99</v>
      </c>
      <c r="B72" s="16">
        <v>1.4646766740742973E-5</v>
      </c>
      <c r="C72" s="8" t="s">
        <v>100</v>
      </c>
      <c r="D72" s="33" t="str">
        <f t="shared" si="7"/>
        <v>Yes</v>
      </c>
      <c r="E72" s="19">
        <v>439.26</v>
      </c>
      <c r="F72" s="19">
        <v>0</v>
      </c>
      <c r="G72" s="52">
        <f>$B72*'Allergan Payments'!E$24</f>
        <v>60.507755799135175</v>
      </c>
      <c r="H72" s="52">
        <f>$B72*'Allergan Payments'!F$24</f>
        <v>60.507755799135168</v>
      </c>
      <c r="I72" s="52">
        <f>$B72*'Allergan Payments'!G$24</f>
        <v>60.507755801489317</v>
      </c>
      <c r="J72" s="52">
        <f>$B72*'Allergan Payments'!H$24</f>
        <v>60.507755801489317</v>
      </c>
      <c r="K72" s="52">
        <f>$B72*'Allergan Payments'!I$24</f>
        <v>60.50775580148931</v>
      </c>
      <c r="L72" s="39" t="s">
        <v>346</v>
      </c>
      <c r="M72" s="7">
        <f>E72</f>
        <v>439.26</v>
      </c>
    </row>
    <row r="73" spans="1:13" x14ac:dyDescent="0.35">
      <c r="A73" s="3" t="s">
        <v>14</v>
      </c>
      <c r="B73" s="16">
        <v>2.0735405898422254E-4</v>
      </c>
      <c r="C73" s="8" t="s">
        <v>101</v>
      </c>
      <c r="D73" s="33" t="str">
        <f t="shared" si="7"/>
        <v>No</v>
      </c>
      <c r="E73" s="19">
        <v>889.67</v>
      </c>
      <c r="F73" s="19">
        <v>899.08</v>
      </c>
      <c r="G73" s="19">
        <f>$B73*'Allergan Payments'!E$24</f>
        <v>856.60739923413109</v>
      </c>
      <c r="H73" s="19">
        <f>$B73*'Allergan Payments'!F$24</f>
        <v>856.60739923413098</v>
      </c>
      <c r="I73" s="19">
        <f>$B73*'Allergan Payments'!G$24</f>
        <v>856.60739926745873</v>
      </c>
      <c r="J73" s="19">
        <f>$B73*'Allergan Payments'!H$24</f>
        <v>856.60739926745873</v>
      </c>
      <c r="K73" s="19">
        <f>$B73*'Allergan Payments'!I$24</f>
        <v>856.60739926745862</v>
      </c>
      <c r="L73" s="39" t="s">
        <v>346</v>
      </c>
      <c r="M73" s="7">
        <f t="shared" si="8"/>
        <v>6071.7869962706382</v>
      </c>
    </row>
    <row r="74" spans="1:13" x14ac:dyDescent="0.35">
      <c r="A74" s="3" t="s">
        <v>102</v>
      </c>
      <c r="B74" s="16">
        <v>1.9287731411200004E-3</v>
      </c>
      <c r="C74" s="8" t="s">
        <v>103</v>
      </c>
      <c r="D74" s="33" t="str">
        <f t="shared" si="7"/>
        <v>No</v>
      </c>
      <c r="E74" s="19">
        <v>8275.52</v>
      </c>
      <c r="F74" s="19">
        <v>8363.1299999999992</v>
      </c>
      <c r="G74" s="19">
        <f>$B74*'Allergan Payments'!E$24</f>
        <v>7968.0202655360818</v>
      </c>
      <c r="H74" s="19">
        <f>$B74*'Allergan Payments'!F$24</f>
        <v>7968.0202655360808</v>
      </c>
      <c r="I74" s="19">
        <f>$B74*'Allergan Payments'!G$24</f>
        <v>7968.0202658460894</v>
      </c>
      <c r="J74" s="19">
        <f>$B74*'Allergan Payments'!H$24</f>
        <v>7968.0202658460894</v>
      </c>
      <c r="K74" s="19">
        <f>$B74*'Allergan Payments'!I$24</f>
        <v>7968.0202658460885</v>
      </c>
      <c r="L74" s="39" t="s">
        <v>346</v>
      </c>
      <c r="M74" s="7">
        <f t="shared" si="8"/>
        <v>56478.751328610437</v>
      </c>
    </row>
    <row r="75" spans="1:13" x14ac:dyDescent="0.35">
      <c r="A75" s="3" t="s">
        <v>75</v>
      </c>
      <c r="B75" s="16">
        <v>1.6772498197081106E-3</v>
      </c>
      <c r="C75" s="8" t="s">
        <v>104</v>
      </c>
      <c r="D75" s="33" t="str">
        <f t="shared" si="7"/>
        <v>No</v>
      </c>
      <c r="E75" s="19">
        <v>7196.35</v>
      </c>
      <c r="F75" s="19">
        <v>7272.53</v>
      </c>
      <c r="G75" s="19">
        <f>$B75*'Allergan Payments'!E$24</f>
        <v>6928.9437253572214</v>
      </c>
      <c r="H75" s="19">
        <f>$B75*'Allergan Payments'!F$24</f>
        <v>6928.9437253572205</v>
      </c>
      <c r="I75" s="19">
        <f>$B75*'Allergan Payments'!G$24</f>
        <v>6928.943725626802</v>
      </c>
      <c r="J75" s="19">
        <f>$B75*'Allergan Payments'!H$24</f>
        <v>6928.943725626802</v>
      </c>
      <c r="K75" s="19">
        <f>$B75*'Allergan Payments'!I$24</f>
        <v>6928.9437256268011</v>
      </c>
      <c r="L75" s="39" t="s">
        <v>346</v>
      </c>
      <c r="M75" s="7">
        <f t="shared" si="8"/>
        <v>49113.598627594845</v>
      </c>
    </row>
    <row r="76" spans="1:13" x14ac:dyDescent="0.35">
      <c r="A76" s="3" t="s">
        <v>92</v>
      </c>
      <c r="B76" s="16">
        <v>1.0040382409120001E-2</v>
      </c>
      <c r="C76" s="8" t="s">
        <v>92</v>
      </c>
      <c r="D76" s="33" t="str">
        <f t="shared" si="7"/>
        <v>No</v>
      </c>
      <c r="E76" s="19">
        <v>43078.9</v>
      </c>
      <c r="F76" s="19">
        <v>43534.95</v>
      </c>
      <c r="G76" s="19">
        <f>$B76*'Allergan Payments'!E$24</f>
        <v>41478.164955752436</v>
      </c>
      <c r="H76" s="19">
        <f>$B76*'Allergan Payments'!F$24</f>
        <v>41478.164955752429</v>
      </c>
      <c r="I76" s="19">
        <f>$B76*'Allergan Payments'!G$24</f>
        <v>41478.164957366207</v>
      </c>
      <c r="J76" s="19">
        <f>$B76*'Allergan Payments'!H$24</f>
        <v>41478.164957366207</v>
      </c>
      <c r="K76" s="19">
        <f>$B76*'Allergan Payments'!I$24</f>
        <v>41478.1649573662</v>
      </c>
      <c r="L76" s="39" t="s">
        <v>346</v>
      </c>
      <c r="M76" s="7">
        <f t="shared" si="8"/>
        <v>294004.67478360352</v>
      </c>
    </row>
    <row r="77" spans="1:13" x14ac:dyDescent="0.35">
      <c r="A77" s="3" t="s">
        <v>105</v>
      </c>
      <c r="B77" s="16">
        <v>5.9203304839503929E-5</v>
      </c>
      <c r="C77" s="8" t="s">
        <v>106</v>
      </c>
      <c r="D77" s="33" t="str">
        <f t="shared" si="7"/>
        <v>Yes</v>
      </c>
      <c r="E77" s="19">
        <v>1775.51</v>
      </c>
      <c r="F77" s="19">
        <v>0</v>
      </c>
      <c r="G77" s="52">
        <f>$B77*'Allergan Payments'!E$24</f>
        <v>244.57678442885802</v>
      </c>
      <c r="H77" s="52">
        <f>$B77*'Allergan Payments'!F$24</f>
        <v>244.57678442885799</v>
      </c>
      <c r="I77" s="52">
        <f>$B77*'Allergan Payments'!G$24</f>
        <v>244.57678443837366</v>
      </c>
      <c r="J77" s="52">
        <f>$B77*'Allergan Payments'!H$24</f>
        <v>244.57678443837366</v>
      </c>
      <c r="K77" s="52">
        <f>$B77*'Allergan Payments'!I$24</f>
        <v>244.57678443837364</v>
      </c>
      <c r="L77" s="39" t="s">
        <v>346</v>
      </c>
      <c r="M77" s="7">
        <f>E77</f>
        <v>1775.51</v>
      </c>
    </row>
    <row r="78" spans="1:13" x14ac:dyDescent="0.35">
      <c r="A78" s="3" t="s">
        <v>107</v>
      </c>
      <c r="B78" s="16">
        <v>1.8132565778312178E-3</v>
      </c>
      <c r="C78" s="8" t="s">
        <v>107</v>
      </c>
      <c r="D78" s="33" t="str">
        <f t="shared" si="7"/>
        <v>No</v>
      </c>
      <c r="E78" s="19">
        <v>7779.89</v>
      </c>
      <c r="F78" s="19">
        <v>7862.25</v>
      </c>
      <c r="G78" s="19">
        <f>$B78*'Allergan Payments'!E$24</f>
        <v>7490.8058655286131</v>
      </c>
      <c r="H78" s="19">
        <f>$B78*'Allergan Payments'!F$24</f>
        <v>7490.8058655286122</v>
      </c>
      <c r="I78" s="19">
        <f>$B78*'Allergan Payments'!G$24</f>
        <v>7490.8058658200544</v>
      </c>
      <c r="J78" s="19">
        <f>$B78*'Allergan Payments'!H$24</f>
        <v>7490.8058658200544</v>
      </c>
      <c r="K78" s="19">
        <f>$B78*'Allergan Payments'!I$24</f>
        <v>7490.8058658200534</v>
      </c>
      <c r="L78" s="39" t="s">
        <v>346</v>
      </c>
      <c r="M78" s="7">
        <f t="shared" si="8"/>
        <v>53096.16932851739</v>
      </c>
    </row>
    <row r="79" spans="1:13" x14ac:dyDescent="0.35">
      <c r="A79" s="3" t="s">
        <v>42</v>
      </c>
      <c r="B79" s="16">
        <v>8.1390405570217945E-5</v>
      </c>
      <c r="C79" s="8" t="s">
        <v>108</v>
      </c>
      <c r="D79" s="33" t="str">
        <f t="shared" si="7"/>
        <v>Yes</v>
      </c>
      <c r="E79" s="19">
        <v>2440.9</v>
      </c>
      <c r="F79" s="19">
        <v>0</v>
      </c>
      <c r="G79" s="52">
        <f>$B79*'Allergan Payments'!E$24</f>
        <v>336.23467020445668</v>
      </c>
      <c r="H79" s="52">
        <f>$B79*'Allergan Payments'!F$24</f>
        <v>336.23467020445668</v>
      </c>
      <c r="I79" s="52">
        <f>$B79*'Allergan Payments'!G$24</f>
        <v>336.23467021753845</v>
      </c>
      <c r="J79" s="52">
        <f>$B79*'Allergan Payments'!H$24</f>
        <v>336.23467021753845</v>
      </c>
      <c r="K79" s="52">
        <f>$B79*'Allergan Payments'!I$24</f>
        <v>336.23467021753839</v>
      </c>
      <c r="L79" s="39" t="s">
        <v>346</v>
      </c>
      <c r="M79" s="7">
        <f>E79</f>
        <v>2440.9</v>
      </c>
    </row>
    <row r="80" spans="1:13" x14ac:dyDescent="0.35">
      <c r="A80" s="3" t="s">
        <v>94</v>
      </c>
      <c r="B80" s="16">
        <v>1.8102084784E-4</v>
      </c>
      <c r="C80" s="8" t="s">
        <v>109</v>
      </c>
      <c r="D80" s="33" t="str">
        <f t="shared" si="7"/>
        <v>No</v>
      </c>
      <c r="E80" s="19">
        <v>776.68</v>
      </c>
      <c r="F80" s="19">
        <v>784.9</v>
      </c>
      <c r="G80" s="19">
        <f>$B80*'Allergan Payments'!E$24</f>
        <v>747.82137583898702</v>
      </c>
      <c r="H80" s="19">
        <f>$B80*'Allergan Payments'!F$24</f>
        <v>747.82137583898691</v>
      </c>
      <c r="I80" s="19">
        <f>$B80*'Allergan Payments'!G$24</f>
        <v>747.82137586808221</v>
      </c>
      <c r="J80" s="19">
        <f>$B80*'Allergan Payments'!H$24</f>
        <v>747.82137586808221</v>
      </c>
      <c r="K80" s="19">
        <f>$B80*'Allergan Payments'!I$24</f>
        <v>747.8213758680821</v>
      </c>
      <c r="L80" s="39" t="s">
        <v>346</v>
      </c>
      <c r="M80" s="7">
        <f t="shared" si="8"/>
        <v>5300.6868792822206</v>
      </c>
    </row>
    <row r="81" spans="1:13" x14ac:dyDescent="0.35">
      <c r="A81" s="3" t="s">
        <v>34</v>
      </c>
      <c r="B81" s="16">
        <v>2.2024727769051096E-4</v>
      </c>
      <c r="C81" s="8" t="s">
        <v>110</v>
      </c>
      <c r="D81" s="33" t="str">
        <f t="shared" si="7"/>
        <v>No</v>
      </c>
      <c r="E81" s="19">
        <v>944.99</v>
      </c>
      <c r="F81" s="19">
        <v>954.99</v>
      </c>
      <c r="G81" s="19">
        <f>$B81*'Allergan Payments'!E$24</f>
        <v>909.87101316025598</v>
      </c>
      <c r="H81" s="19">
        <f>$B81*'Allergan Payments'!F$24</f>
        <v>909.87101316025587</v>
      </c>
      <c r="I81" s="19">
        <f>$B81*'Allergan Payments'!G$24</f>
        <v>909.87101319565591</v>
      </c>
      <c r="J81" s="19">
        <f>$B81*'Allergan Payments'!H$24</f>
        <v>909.87101319565591</v>
      </c>
      <c r="K81" s="19">
        <f>$B81*'Allergan Payments'!I$24</f>
        <v>909.87101319565579</v>
      </c>
      <c r="L81" s="39" t="s">
        <v>346</v>
      </c>
      <c r="M81" s="7">
        <f t="shared" si="8"/>
        <v>6449.3350659074795</v>
      </c>
    </row>
    <row r="82" spans="1:13" x14ac:dyDescent="0.35">
      <c r="A82" s="3" t="s">
        <v>34</v>
      </c>
      <c r="B82" s="16">
        <v>1.6511895197089239E-3</v>
      </c>
      <c r="C82" s="8" t="s">
        <v>111</v>
      </c>
      <c r="D82" s="33" t="str">
        <f t="shared" si="7"/>
        <v>No</v>
      </c>
      <c r="E82" s="19">
        <v>7084.53</v>
      </c>
      <c r="F82" s="19">
        <v>28338.54</v>
      </c>
      <c r="G82" s="19">
        <f>$B82*'Allergan Payments'!E$24</f>
        <v>6821.2851344672144</v>
      </c>
      <c r="H82" s="19">
        <f>$B82*'Allergan Payments'!F$24</f>
        <v>6821.2851344672144</v>
      </c>
      <c r="I82" s="19">
        <f>$B82*'Allergan Payments'!G$24</f>
        <v>6821.2851347326077</v>
      </c>
      <c r="J82" s="19">
        <f>$B82*'Allergan Payments'!H$24</f>
        <v>6821.2851347326077</v>
      </c>
      <c r="K82" s="19">
        <f>$B82*'Allergan Payments'!I$24</f>
        <v>6821.2851347326068</v>
      </c>
      <c r="L82" s="39" t="s">
        <v>346</v>
      </c>
      <c r="M82" s="7">
        <f t="shared" si="8"/>
        <v>69529.495673132245</v>
      </c>
    </row>
    <row r="83" spans="1:13" x14ac:dyDescent="0.35">
      <c r="A83" s="3" t="s">
        <v>63</v>
      </c>
      <c r="B83" s="16">
        <v>1.8526953699043198E-5</v>
      </c>
      <c r="C83" s="8" t="s">
        <v>112</v>
      </c>
      <c r="D83" s="33" t="str">
        <f t="shared" si="7"/>
        <v>Yes</v>
      </c>
      <c r="E83" s="19">
        <v>555.62</v>
      </c>
      <c r="F83" s="19">
        <v>0</v>
      </c>
      <c r="G83" s="52">
        <f>$B83*'Allergan Payments'!E$24</f>
        <v>76.537327996439771</v>
      </c>
      <c r="H83" s="52">
        <f>$B83*'Allergan Payments'!F$24</f>
        <v>76.537327996439757</v>
      </c>
      <c r="I83" s="52">
        <f>$B83*'Allergan Payments'!G$24</f>
        <v>76.53732799941757</v>
      </c>
      <c r="J83" s="52">
        <f>$B83*'Allergan Payments'!H$24</f>
        <v>76.53732799941757</v>
      </c>
      <c r="K83" s="52">
        <f>$B83*'Allergan Payments'!I$24</f>
        <v>76.537327999417556</v>
      </c>
      <c r="L83" s="39" t="s">
        <v>346</v>
      </c>
      <c r="M83" s="7">
        <f>E83</f>
        <v>555.62</v>
      </c>
    </row>
    <row r="84" spans="1:13" x14ac:dyDescent="0.35">
      <c r="A84" s="3" t="s">
        <v>113</v>
      </c>
      <c r="B84" s="16">
        <v>4.7960718893470176E-4</v>
      </c>
      <c r="C84" s="8" t="s">
        <v>114</v>
      </c>
      <c r="D84" s="33" t="str">
        <f t="shared" si="7"/>
        <v>No</v>
      </c>
      <c r="E84" s="19">
        <v>2057.79</v>
      </c>
      <c r="F84" s="19">
        <v>2079.5700000000002</v>
      </c>
      <c r="G84" s="19">
        <f>$B84*'Allergan Payments'!E$24</f>
        <v>1981.3215558929937</v>
      </c>
      <c r="H84" s="19">
        <f>$B84*'Allergan Payments'!F$24</f>
        <v>1981.3215558929935</v>
      </c>
      <c r="I84" s="19">
        <f>$B84*'Allergan Payments'!G$24</f>
        <v>1981.32155597008</v>
      </c>
      <c r="J84" s="19">
        <f>$B84*'Allergan Payments'!H$24</f>
        <v>1981.32155597008</v>
      </c>
      <c r="K84" s="19">
        <f>$B84*'Allergan Payments'!I$24</f>
        <v>1981.3215559700798</v>
      </c>
      <c r="L84" s="39" t="s">
        <v>346</v>
      </c>
      <c r="M84" s="7">
        <f t="shared" si="8"/>
        <v>14043.967779696228</v>
      </c>
    </row>
    <row r="85" spans="1:13" x14ac:dyDescent="0.35">
      <c r="A85" s="3" t="s">
        <v>34</v>
      </c>
      <c r="B85" s="16">
        <v>8.911313493618362E-4</v>
      </c>
      <c r="C85" s="8" t="s">
        <v>115</v>
      </c>
      <c r="D85" s="33" t="str">
        <f t="shared" si="7"/>
        <v>No</v>
      </c>
      <c r="E85" s="19">
        <v>3823.46</v>
      </c>
      <c r="F85" s="19">
        <v>3863.93</v>
      </c>
      <c r="G85" s="19">
        <f>$B85*'Allergan Payments'!E$24</f>
        <v>3681.382999167271</v>
      </c>
      <c r="H85" s="19">
        <f>$B85*'Allergan Payments'!F$24</f>
        <v>3681.3829991672706</v>
      </c>
      <c r="I85" s="19">
        <f>$B85*'Allergan Payments'!G$24</f>
        <v>3681.3829993105005</v>
      </c>
      <c r="J85" s="19">
        <f>$B85*'Allergan Payments'!H$24</f>
        <v>3681.3829993105005</v>
      </c>
      <c r="K85" s="19">
        <f>$B85*'Allergan Payments'!I$24</f>
        <v>3681.3829993105001</v>
      </c>
      <c r="L85" s="39" t="s">
        <v>346</v>
      </c>
      <c r="M85" s="7">
        <f t="shared" si="8"/>
        <v>26094.304996266041</v>
      </c>
    </row>
    <row r="86" spans="1:13" x14ac:dyDescent="0.35">
      <c r="A86" s="3" t="s">
        <v>116</v>
      </c>
      <c r="B86" s="16">
        <v>1.717819666839331E-4</v>
      </c>
      <c r="C86" s="8" t="s">
        <v>117</v>
      </c>
      <c r="D86" s="33" t="str">
        <f t="shared" si="7"/>
        <v>No</v>
      </c>
      <c r="E86" s="19">
        <v>737.04</v>
      </c>
      <c r="F86" s="19">
        <v>744.84</v>
      </c>
      <c r="G86" s="19">
        <f>$B86*'Allergan Payments'!E$24</f>
        <v>709.65431994579194</v>
      </c>
      <c r="H86" s="19">
        <f>$B86*'Allergan Payments'!F$24</f>
        <v>709.65431994579183</v>
      </c>
      <c r="I86" s="19">
        <f>$B86*'Allergan Payments'!G$24</f>
        <v>709.65431997340215</v>
      </c>
      <c r="J86" s="19">
        <f>$B86*'Allergan Payments'!H$24</f>
        <v>709.65431997340215</v>
      </c>
      <c r="K86" s="19">
        <f>$B86*'Allergan Payments'!I$24</f>
        <v>709.65431997340204</v>
      </c>
      <c r="L86" s="39" t="s">
        <v>346</v>
      </c>
      <c r="M86" s="7">
        <f t="shared" si="8"/>
        <v>5030.1515998117911</v>
      </c>
    </row>
    <row r="87" spans="1:13" x14ac:dyDescent="0.35">
      <c r="A87" s="3" t="s">
        <v>63</v>
      </c>
      <c r="B87" s="16">
        <v>2.5575490326387143E-4</v>
      </c>
      <c r="C87" s="8" t="s">
        <v>118</v>
      </c>
      <c r="D87" s="33" t="str">
        <f t="shared" si="7"/>
        <v>No</v>
      </c>
      <c r="E87" s="19">
        <v>1097.33</v>
      </c>
      <c r="F87" s="19">
        <v>4195.79</v>
      </c>
      <c r="G87" s="19">
        <f>$B87*'Allergan Payments'!E$24</f>
        <v>1056.5577717623144</v>
      </c>
      <c r="H87" s="19">
        <f>$B87*'Allergan Payments'!F$24</f>
        <v>1056.5577717623144</v>
      </c>
      <c r="I87" s="19">
        <f>$B87*'Allergan Payments'!G$24</f>
        <v>1056.5577718034215</v>
      </c>
      <c r="J87" s="19">
        <f>$B87*'Allergan Payments'!H$24</f>
        <v>1056.5577718034215</v>
      </c>
      <c r="K87" s="19">
        <f>$B87*'Allergan Payments'!I$24</f>
        <v>1056.5577718034212</v>
      </c>
      <c r="L87" s="39" t="s">
        <v>346</v>
      </c>
      <c r="M87" s="7">
        <f t="shared" si="8"/>
        <v>10575.908858934894</v>
      </c>
    </row>
    <row r="88" spans="1:13" x14ac:dyDescent="0.35">
      <c r="A88" s="3" t="s">
        <v>63</v>
      </c>
      <c r="B88" s="16">
        <v>2.9548125614560005E-2</v>
      </c>
      <c r="C88" s="8" t="s">
        <v>119</v>
      </c>
      <c r="D88" s="33" t="str">
        <f t="shared" si="7"/>
        <v>No</v>
      </c>
      <c r="E88" s="19">
        <v>126778.12</v>
      </c>
      <c r="F88" s="19">
        <v>170478.25</v>
      </c>
      <c r="G88" s="19">
        <f>$B88*'Allergan Payments'!E$24</f>
        <v>122067.26581058906</v>
      </c>
      <c r="H88" s="19">
        <f>$B88*'Allergan Payments'!F$24</f>
        <v>122067.26581058904</v>
      </c>
      <c r="I88" s="19">
        <f>$B88*'Allergan Payments'!G$24</f>
        <v>122067.26581533828</v>
      </c>
      <c r="J88" s="19">
        <f>$B88*'Allergan Payments'!H$24</f>
        <v>122067.26581533828</v>
      </c>
      <c r="K88" s="19">
        <f>$B88*'Allergan Payments'!I$24</f>
        <v>122067.26581533827</v>
      </c>
      <c r="L88" s="39" t="s">
        <v>346</v>
      </c>
      <c r="M88" s="7">
        <f t="shared" si="8"/>
        <v>907592.69906719285</v>
      </c>
    </row>
    <row r="89" spans="1:13" x14ac:dyDescent="0.35">
      <c r="A89" s="3" t="s">
        <v>63</v>
      </c>
      <c r="B89" s="16">
        <v>3.7431147041579692E-5</v>
      </c>
      <c r="C89" s="8" t="s">
        <v>120</v>
      </c>
      <c r="D89" s="33" t="str">
        <f t="shared" si="7"/>
        <v>Yes</v>
      </c>
      <c r="E89" s="19">
        <v>1122.56</v>
      </c>
      <c r="F89" s="19">
        <v>0</v>
      </c>
      <c r="G89" s="52">
        <f>$B89*'Allergan Payments'!E$24</f>
        <v>154.63308350321532</v>
      </c>
      <c r="H89" s="52">
        <f>$B89*'Allergan Payments'!F$24</f>
        <v>154.63308350321529</v>
      </c>
      <c r="I89" s="52">
        <f>$B89*'Allergan Payments'!G$24</f>
        <v>154.63308350923157</v>
      </c>
      <c r="J89" s="52">
        <f>$B89*'Allergan Payments'!H$24</f>
        <v>154.63308350923157</v>
      </c>
      <c r="K89" s="52">
        <f>$B89*'Allergan Payments'!I$24</f>
        <v>154.63308350923154</v>
      </c>
      <c r="L89" s="39" t="s">
        <v>346</v>
      </c>
      <c r="M89" s="7">
        <f>E89</f>
        <v>1122.56</v>
      </c>
    </row>
    <row r="90" spans="1:13" x14ac:dyDescent="0.35">
      <c r="A90" s="3" t="s">
        <v>121</v>
      </c>
      <c r="B90" s="16">
        <v>9.4416380822506951E-5</v>
      </c>
      <c r="C90" s="8" t="s">
        <v>122</v>
      </c>
      <c r="D90" s="33" t="str">
        <f t="shared" si="7"/>
        <v>No</v>
      </c>
      <c r="E90" s="19">
        <v>405.1</v>
      </c>
      <c r="F90" s="19">
        <v>409.39</v>
      </c>
      <c r="G90" s="19">
        <f>$B90*'Allergan Payments'!E$24</f>
        <v>390.04671920900722</v>
      </c>
      <c r="H90" s="19">
        <f>$B90*'Allergan Payments'!F$24</f>
        <v>390.04671920900716</v>
      </c>
      <c r="I90" s="19">
        <f>$B90*'Allergan Payments'!G$24</f>
        <v>390.0467192241826</v>
      </c>
      <c r="J90" s="19">
        <f>$B90*'Allergan Payments'!H$24</f>
        <v>390.0467192241826</v>
      </c>
      <c r="K90" s="19">
        <f>$B90*'Allergan Payments'!I$24</f>
        <v>390.04671922418254</v>
      </c>
      <c r="L90" s="39" t="s">
        <v>346</v>
      </c>
      <c r="M90" s="7">
        <f t="shared" si="8"/>
        <v>2764.7235960905623</v>
      </c>
    </row>
    <row r="91" spans="1:13" x14ac:dyDescent="0.35">
      <c r="A91" s="3" t="s">
        <v>75</v>
      </c>
      <c r="B91" s="16">
        <v>8.0090683849233263E-4</v>
      </c>
      <c r="C91" s="8" t="s">
        <v>123</v>
      </c>
      <c r="D91" s="33" t="str">
        <f t="shared" si="7"/>
        <v>No</v>
      </c>
      <c r="E91" s="19">
        <v>3436.34</v>
      </c>
      <c r="F91" s="19">
        <v>3472.72</v>
      </c>
      <c r="G91" s="19">
        <f>$B91*'Allergan Payments'!E$24</f>
        <v>3308.6534563663859</v>
      </c>
      <c r="H91" s="19">
        <f>$B91*'Allergan Payments'!F$24</f>
        <v>3308.6534563663854</v>
      </c>
      <c r="I91" s="19">
        <f>$B91*'Allergan Payments'!G$24</f>
        <v>3308.6534564951139</v>
      </c>
      <c r="J91" s="19">
        <f>$B91*'Allergan Payments'!H$24</f>
        <v>3308.6534564951139</v>
      </c>
      <c r="K91" s="19">
        <f>$B91*'Allergan Payments'!I$24</f>
        <v>3308.6534564951135</v>
      </c>
      <c r="L91" s="39" t="s">
        <v>346</v>
      </c>
      <c r="M91" s="7">
        <f t="shared" si="8"/>
        <v>23452.327282218113</v>
      </c>
    </row>
    <row r="92" spans="1:13" x14ac:dyDescent="0.35">
      <c r="A92" s="3" t="s">
        <v>45</v>
      </c>
      <c r="B92" s="16">
        <v>4.8883853430216079E-4</v>
      </c>
      <c r="C92" s="8" t="s">
        <v>124</v>
      </c>
      <c r="D92" s="33" t="str">
        <f t="shared" si="7"/>
        <v>No</v>
      </c>
      <c r="E92" s="19">
        <v>2097.39</v>
      </c>
      <c r="F92" s="19">
        <v>2119.6</v>
      </c>
      <c r="G92" s="19">
        <f>$B92*'Allergan Payments'!E$24</f>
        <v>2019.4574804337949</v>
      </c>
      <c r="H92" s="19">
        <f>$B92*'Allergan Payments'!F$24</f>
        <v>2019.4574804337947</v>
      </c>
      <c r="I92" s="19">
        <f>$B92*'Allergan Payments'!G$24</f>
        <v>2019.4574805123648</v>
      </c>
      <c r="J92" s="19">
        <f>$B92*'Allergan Payments'!H$24</f>
        <v>2019.4574805123648</v>
      </c>
      <c r="K92" s="19">
        <f>$B92*'Allergan Payments'!I$24</f>
        <v>2019.4574805123646</v>
      </c>
      <c r="L92" s="39" t="s">
        <v>346</v>
      </c>
      <c r="M92" s="7">
        <f t="shared" si="8"/>
        <v>14314.277402404685</v>
      </c>
    </row>
    <row r="93" spans="1:13" x14ac:dyDescent="0.35">
      <c r="A93" s="3" t="s">
        <v>105</v>
      </c>
      <c r="B93" s="16">
        <v>1.2927096154735895E-4</v>
      </c>
      <c r="C93" s="8" t="s">
        <v>125</v>
      </c>
      <c r="D93" s="33" t="str">
        <f t="shared" si="7"/>
        <v>No</v>
      </c>
      <c r="E93" s="19">
        <v>554.65</v>
      </c>
      <c r="F93" s="19">
        <v>560.52</v>
      </c>
      <c r="G93" s="19">
        <f>$B93*'Allergan Payments'!E$24</f>
        <v>534.03566204606705</v>
      </c>
      <c r="H93" s="19">
        <f>$B93*'Allergan Payments'!F$24</f>
        <v>534.03566204606693</v>
      </c>
      <c r="I93" s="19">
        <f>$B93*'Allergan Payments'!G$24</f>
        <v>534.03566206684445</v>
      </c>
      <c r="J93" s="19">
        <f>$B93*'Allergan Payments'!H$24</f>
        <v>534.03566206684445</v>
      </c>
      <c r="K93" s="19">
        <f>$B93*'Allergan Payments'!I$24</f>
        <v>534.03566206684445</v>
      </c>
      <c r="L93" s="39" t="s">
        <v>346</v>
      </c>
      <c r="M93" s="7">
        <f t="shared" si="8"/>
        <v>3785.3483102926675</v>
      </c>
    </row>
    <row r="94" spans="1:13" x14ac:dyDescent="0.35">
      <c r="A94" s="3" t="s">
        <v>14</v>
      </c>
      <c r="B94" s="16">
        <v>8.9914131120183972E-5</v>
      </c>
      <c r="C94" s="8" t="s">
        <v>126</v>
      </c>
      <c r="D94" s="33" t="str">
        <f t="shared" si="7"/>
        <v>No</v>
      </c>
      <c r="E94" s="19">
        <v>385.78</v>
      </c>
      <c r="F94" s="19">
        <v>389.87</v>
      </c>
      <c r="G94" s="19">
        <f>$B94*'Allergan Payments'!E$24</f>
        <v>371.44732247135772</v>
      </c>
      <c r="H94" s="19">
        <f>$B94*'Allergan Payments'!F$24</f>
        <v>371.44732247135767</v>
      </c>
      <c r="I94" s="19">
        <f>$B94*'Allergan Payments'!G$24</f>
        <v>371.44732248580942</v>
      </c>
      <c r="J94" s="19">
        <f>$B94*'Allergan Payments'!H$24</f>
        <v>371.44732248580942</v>
      </c>
      <c r="K94" s="19">
        <f>$B94*'Allergan Payments'!I$24</f>
        <v>371.44732248580942</v>
      </c>
      <c r="L94" s="39" t="s">
        <v>346</v>
      </c>
      <c r="M94" s="7">
        <f t="shared" si="8"/>
        <v>2632.8866124001433</v>
      </c>
    </row>
    <row r="95" spans="1:13" x14ac:dyDescent="0.35">
      <c r="A95" s="3" t="s">
        <v>22</v>
      </c>
      <c r="B95" s="16">
        <v>3.6022982039200801E-4</v>
      </c>
      <c r="C95" s="8" t="s">
        <v>127</v>
      </c>
      <c r="D95" s="33" t="str">
        <f t="shared" si="7"/>
        <v>No</v>
      </c>
      <c r="E95" s="19">
        <v>1545.59</v>
      </c>
      <c r="F95" s="19">
        <v>1561.95</v>
      </c>
      <c r="G95" s="19">
        <f>$B95*'Allergan Payments'!E$24</f>
        <v>1488.1576521058385</v>
      </c>
      <c r="H95" s="19">
        <f>$B95*'Allergan Payments'!F$24</f>
        <v>1488.1576521058382</v>
      </c>
      <c r="I95" s="19">
        <f>$B95*'Allergan Payments'!G$24</f>
        <v>1488.1576521637373</v>
      </c>
      <c r="J95" s="19">
        <f>$B95*'Allergan Payments'!H$24</f>
        <v>1488.1576521637373</v>
      </c>
      <c r="K95" s="19">
        <f>$B95*'Allergan Payments'!I$24</f>
        <v>1488.1576521637373</v>
      </c>
      <c r="L95" s="39" t="s">
        <v>346</v>
      </c>
      <c r="M95" s="7">
        <f t="shared" si="8"/>
        <v>10548.328260702889</v>
      </c>
    </row>
    <row r="96" spans="1:13" x14ac:dyDescent="0.35">
      <c r="A96" s="3" t="s">
        <v>99</v>
      </c>
      <c r="B96" s="16">
        <v>4.0665701695608492E-6</v>
      </c>
      <c r="C96" s="8" t="s">
        <v>128</v>
      </c>
      <c r="D96" s="33" t="str">
        <f t="shared" si="7"/>
        <v>Yes</v>
      </c>
      <c r="E96" s="19">
        <v>0</v>
      </c>
      <c r="F96" s="19">
        <v>0</v>
      </c>
      <c r="G96" s="52">
        <f>$B96*'Allergan Payments'!E$24</f>
        <v>16.799546214890697</v>
      </c>
      <c r="H96" s="52">
        <f>$B96*'Allergan Payments'!F$24</f>
        <v>16.799546214890697</v>
      </c>
      <c r="I96" s="52">
        <f>$B96*'Allergan Payments'!G$24</f>
        <v>16.799546215544311</v>
      </c>
      <c r="J96" s="52">
        <f>$B96*'Allergan Payments'!H$24</f>
        <v>16.799546215544311</v>
      </c>
      <c r="K96" s="52">
        <f>$B96*'Allergan Payments'!I$24</f>
        <v>16.799546215544307</v>
      </c>
      <c r="L96" s="39" t="s">
        <v>346</v>
      </c>
      <c r="M96" s="7">
        <f>E96</f>
        <v>0</v>
      </c>
    </row>
    <row r="97" spans="1:13" x14ac:dyDescent="0.35">
      <c r="A97" s="3" t="s">
        <v>63</v>
      </c>
      <c r="B97" s="16">
        <v>1.2946224462663598E-4</v>
      </c>
      <c r="C97" s="8" t="s">
        <v>129</v>
      </c>
      <c r="D97" s="33" t="str">
        <f t="shared" si="7"/>
        <v>No</v>
      </c>
      <c r="E97" s="19">
        <v>0</v>
      </c>
      <c r="F97" s="19">
        <v>0</v>
      </c>
      <c r="G97" s="19">
        <f>$B97*'Allergan Payments'!E$24</f>
        <v>534.82587807491961</v>
      </c>
      <c r="H97" s="19">
        <f>$B97*'Allergan Payments'!F$24</f>
        <v>534.82587807491961</v>
      </c>
      <c r="I97" s="19">
        <f>$B97*'Allergan Payments'!G$24</f>
        <v>534.82587809572794</v>
      </c>
      <c r="J97" s="19">
        <f>$B97*'Allergan Payments'!H$24</f>
        <v>534.82587809572794</v>
      </c>
      <c r="K97" s="19">
        <f>$B97*'Allergan Payments'!I$24</f>
        <v>534.82587809572783</v>
      </c>
      <c r="L97" s="39" t="s">
        <v>346</v>
      </c>
      <c r="M97" s="7">
        <f t="shared" si="8"/>
        <v>2674.1293904370232</v>
      </c>
    </row>
    <row r="98" spans="1:13" x14ac:dyDescent="0.35">
      <c r="A98" s="3" t="s">
        <v>63</v>
      </c>
      <c r="B98" s="16">
        <v>2.0590679067840002E-2</v>
      </c>
      <c r="C98" s="8" t="s">
        <v>63</v>
      </c>
      <c r="D98" s="33" t="str">
        <f t="shared" si="7"/>
        <v>No</v>
      </c>
      <c r="E98" s="19">
        <v>90450.26999999999</v>
      </c>
      <c r="F98" s="19">
        <v>142723.56</v>
      </c>
      <c r="G98" s="19">
        <f>$B98*'Allergan Payments'!E$24</f>
        <v>85062.853995586178</v>
      </c>
      <c r="H98" s="19">
        <f>$B98*'Allergan Payments'!F$24</f>
        <v>85062.853995586163</v>
      </c>
      <c r="I98" s="19">
        <f>$B98*'Allergan Payments'!G$24</f>
        <v>85062.853998895676</v>
      </c>
      <c r="J98" s="19">
        <f>$B98*'Allergan Payments'!H$24</f>
        <v>85062.853998895676</v>
      </c>
      <c r="K98" s="19">
        <f>$B98*'Allergan Payments'!I$24</f>
        <v>85062.853998895662</v>
      </c>
      <c r="L98" s="39" t="s">
        <v>346</v>
      </c>
      <c r="M98" s="7">
        <f t="shared" si="8"/>
        <v>658488.09998785926</v>
      </c>
    </row>
    <row r="99" spans="1:13" x14ac:dyDescent="0.35">
      <c r="A99" s="3" t="s">
        <v>60</v>
      </c>
      <c r="B99" s="16">
        <v>7.5616735127273667E-7</v>
      </c>
      <c r="C99" s="8" t="s">
        <v>130</v>
      </c>
      <c r="D99" s="8" t="s">
        <v>337</v>
      </c>
      <c r="E99" s="19">
        <v>0</v>
      </c>
      <c r="F99" s="19">
        <v>0</v>
      </c>
      <c r="G99" s="19">
        <v>0</v>
      </c>
      <c r="H99" s="19">
        <v>0</v>
      </c>
      <c r="I99" s="19">
        <v>0</v>
      </c>
      <c r="J99" s="19">
        <v>0</v>
      </c>
      <c r="K99" s="19">
        <v>0</v>
      </c>
      <c r="L99" s="39" t="s">
        <v>346</v>
      </c>
      <c r="M99" s="7">
        <f t="shared" si="8"/>
        <v>0</v>
      </c>
    </row>
    <row r="100" spans="1:13" x14ac:dyDescent="0.35">
      <c r="A100" s="3" t="s">
        <v>24</v>
      </c>
      <c r="B100" s="16">
        <v>7.2026920920619308E-5</v>
      </c>
      <c r="C100" s="8" t="s">
        <v>131</v>
      </c>
      <c r="D100" s="33" t="str">
        <f t="shared" ref="D100:D152" si="9">IF(B100&lt;0.000083,"Yes","No")</f>
        <v>Yes</v>
      </c>
      <c r="E100" s="19">
        <v>2160.09</v>
      </c>
      <c r="F100" s="19">
        <v>0</v>
      </c>
      <c r="G100" s="52">
        <f>$B100*'Allergan Payments'!E$24</f>
        <v>297.55286058494164</v>
      </c>
      <c r="H100" s="52">
        <f>$B100*'Allergan Payments'!F$24</f>
        <v>297.55286058494158</v>
      </c>
      <c r="I100" s="52">
        <f>$B100*'Allergan Payments'!G$24</f>
        <v>297.55286059651837</v>
      </c>
      <c r="J100" s="52">
        <f>$B100*'Allergan Payments'!H$24</f>
        <v>297.55286059651837</v>
      </c>
      <c r="K100" s="52">
        <f>$B100*'Allergan Payments'!I$24</f>
        <v>297.55286059651831</v>
      </c>
      <c r="L100" s="39" t="s">
        <v>346</v>
      </c>
      <c r="M100" s="7">
        <f>E100</f>
        <v>2160.09</v>
      </c>
    </row>
    <row r="101" spans="1:13" x14ac:dyDescent="0.35">
      <c r="A101" s="3" t="s">
        <v>132</v>
      </c>
      <c r="B101" s="16">
        <v>2.150307736298917E-3</v>
      </c>
      <c r="C101" s="8" t="s">
        <v>132</v>
      </c>
      <c r="D101" s="33" t="str">
        <f t="shared" si="9"/>
        <v>No</v>
      </c>
      <c r="E101" s="19">
        <v>9226.0300000000007</v>
      </c>
      <c r="F101" s="19">
        <v>9323.7000000000007</v>
      </c>
      <c r="G101" s="19">
        <f>$B101*'Allergan Payments'!E$24</f>
        <v>8883.2093597174353</v>
      </c>
      <c r="H101" s="19">
        <f>$B101*'Allergan Payments'!F$24</f>
        <v>8883.2093597174353</v>
      </c>
      <c r="I101" s="19">
        <f>$B101*'Allergan Payments'!G$24</f>
        <v>8883.2093600630506</v>
      </c>
      <c r="J101" s="19">
        <f>$B101*'Allergan Payments'!H$24</f>
        <v>8883.2093600630506</v>
      </c>
      <c r="K101" s="19">
        <f>$B101*'Allergan Payments'!I$24</f>
        <v>8883.2093600630506</v>
      </c>
      <c r="L101" s="39" t="s">
        <v>346</v>
      </c>
      <c r="M101" s="7">
        <f t="shared" si="8"/>
        <v>62965.776799624015</v>
      </c>
    </row>
    <row r="102" spans="1:13" x14ac:dyDescent="0.35">
      <c r="A102" s="3" t="s">
        <v>133</v>
      </c>
      <c r="B102" s="16">
        <v>7.4672268357818962E-4</v>
      </c>
      <c r="C102" s="8" t="s">
        <v>133</v>
      </c>
      <c r="D102" s="33" t="str">
        <f t="shared" si="9"/>
        <v>No</v>
      </c>
      <c r="E102" s="19">
        <v>3203.86</v>
      </c>
      <c r="F102" s="19">
        <v>3237.78</v>
      </c>
      <c r="G102" s="19">
        <f>$B102*'Allergan Payments'!E$24</f>
        <v>3084.8114527515204</v>
      </c>
      <c r="H102" s="19">
        <f>$B102*'Allergan Payments'!F$24</f>
        <v>3084.8114527515199</v>
      </c>
      <c r="I102" s="19">
        <f>$B102*'Allergan Payments'!G$24</f>
        <v>3084.8114528715396</v>
      </c>
      <c r="J102" s="19">
        <f>$B102*'Allergan Payments'!H$24</f>
        <v>3084.8114528715396</v>
      </c>
      <c r="K102" s="19">
        <f>$B102*'Allergan Payments'!I$24</f>
        <v>3084.8114528715396</v>
      </c>
      <c r="L102" s="39" t="s">
        <v>346</v>
      </c>
      <c r="M102" s="7">
        <f t="shared" si="8"/>
        <v>21865.697264117662</v>
      </c>
    </row>
    <row r="103" spans="1:13" x14ac:dyDescent="0.35">
      <c r="A103" s="3" t="s">
        <v>63</v>
      </c>
      <c r="B103" s="16">
        <v>2.0983361149949468E-4</v>
      </c>
      <c r="C103" s="8" t="s">
        <v>134</v>
      </c>
      <c r="D103" s="33" t="str">
        <f t="shared" si="9"/>
        <v>No</v>
      </c>
      <c r="E103" s="19">
        <v>900.3</v>
      </c>
      <c r="F103" s="19">
        <v>909.84</v>
      </c>
      <c r="G103" s="19">
        <f>$B103*'Allergan Payments'!E$24</f>
        <v>866.85076288843663</v>
      </c>
      <c r="H103" s="19">
        <f>$B103*'Allergan Payments'!F$24</f>
        <v>866.85076288843652</v>
      </c>
      <c r="I103" s="19">
        <f>$B103*'Allergan Payments'!G$24</f>
        <v>866.85076292216274</v>
      </c>
      <c r="J103" s="19">
        <f>$B103*'Allergan Payments'!H$24</f>
        <v>866.85076292216274</v>
      </c>
      <c r="K103" s="19">
        <f>$B103*'Allergan Payments'!I$24</f>
        <v>866.85076292216274</v>
      </c>
      <c r="L103" s="39" t="s">
        <v>346</v>
      </c>
      <c r="M103" s="7">
        <f t="shared" si="8"/>
        <v>6144.3938145433622</v>
      </c>
    </row>
    <row r="104" spans="1:13" x14ac:dyDescent="0.35">
      <c r="A104" s="3" t="s">
        <v>24</v>
      </c>
      <c r="B104" s="16">
        <v>1.1276184998321618E-4</v>
      </c>
      <c r="C104" s="8" t="s">
        <v>135</v>
      </c>
      <c r="D104" s="33" t="str">
        <f t="shared" si="9"/>
        <v>No</v>
      </c>
      <c r="E104" s="19">
        <v>483.81</v>
      </c>
      <c r="F104" s="19">
        <v>488.93</v>
      </c>
      <c r="G104" s="19">
        <f>$B104*'Allergan Payments'!E$24</f>
        <v>465.83431026205153</v>
      </c>
      <c r="H104" s="19">
        <f>$B104*'Allergan Payments'!F$24</f>
        <v>465.83431026205147</v>
      </c>
      <c r="I104" s="19">
        <f>$B104*'Allergan Payments'!G$24</f>
        <v>465.83431028017554</v>
      </c>
      <c r="J104" s="19">
        <f>$B104*'Allergan Payments'!H$24</f>
        <v>465.83431028017554</v>
      </c>
      <c r="K104" s="19">
        <f>$B104*'Allergan Payments'!I$24</f>
        <v>465.83431028017549</v>
      </c>
      <c r="L104" s="39" t="s">
        <v>346</v>
      </c>
      <c r="M104" s="7">
        <f t="shared" si="8"/>
        <v>3301.9115513646298</v>
      </c>
    </row>
    <row r="105" spans="1:13" x14ac:dyDescent="0.35">
      <c r="A105" s="3" t="s">
        <v>24</v>
      </c>
      <c r="B105" s="16">
        <v>3.4772891380126724E-4</v>
      </c>
      <c r="C105" s="8" t="s">
        <v>136</v>
      </c>
      <c r="D105" s="33" t="str">
        <f t="shared" si="9"/>
        <v>No</v>
      </c>
      <c r="E105" s="19">
        <v>1491.95</v>
      </c>
      <c r="F105" s="19">
        <v>1507.75</v>
      </c>
      <c r="G105" s="19">
        <f>$B105*'Allergan Payments'!E$24</f>
        <v>1436.5147320915355</v>
      </c>
      <c r="H105" s="19">
        <f>$B105*'Allergan Payments'!F$24</f>
        <v>1436.5147320915353</v>
      </c>
      <c r="I105" s="19">
        <f>$B105*'Allergan Payments'!G$24</f>
        <v>1436.5147321474253</v>
      </c>
      <c r="J105" s="19">
        <f>$B105*'Allergan Payments'!H$24</f>
        <v>1436.5147321474253</v>
      </c>
      <c r="K105" s="19">
        <f>$B105*'Allergan Payments'!I$24</f>
        <v>1436.5147321474251</v>
      </c>
      <c r="L105" s="39" t="s">
        <v>346</v>
      </c>
      <c r="M105" s="7">
        <f t="shared" si="8"/>
        <v>10182.273660625346</v>
      </c>
    </row>
    <row r="106" spans="1:13" x14ac:dyDescent="0.35">
      <c r="A106" s="3" t="s">
        <v>14</v>
      </c>
      <c r="B106" s="16">
        <v>3.7568288969454963E-5</v>
      </c>
      <c r="C106" s="8" t="s">
        <v>137</v>
      </c>
      <c r="D106" s="33" t="str">
        <f t="shared" si="9"/>
        <v>Yes</v>
      </c>
      <c r="E106" s="19">
        <v>1126.67</v>
      </c>
      <c r="F106" s="19">
        <v>0</v>
      </c>
      <c r="G106" s="52">
        <f>$B106*'Allergan Payments'!E$24</f>
        <v>155.19963518172443</v>
      </c>
      <c r="H106" s="52">
        <f>$B106*'Allergan Payments'!F$24</f>
        <v>155.19963518172443</v>
      </c>
      <c r="I106" s="52">
        <f>$B106*'Allergan Payments'!G$24</f>
        <v>155.19963518776271</v>
      </c>
      <c r="J106" s="52">
        <f>$B106*'Allergan Payments'!H$24</f>
        <v>155.19963518776271</v>
      </c>
      <c r="K106" s="52">
        <f>$B106*'Allergan Payments'!I$24</f>
        <v>155.19963518776271</v>
      </c>
      <c r="L106" s="39" t="s">
        <v>346</v>
      </c>
      <c r="M106" s="7">
        <f>E106</f>
        <v>1126.67</v>
      </c>
    </row>
    <row r="107" spans="1:13" x14ac:dyDescent="0.35">
      <c r="A107" s="3" t="s">
        <v>14</v>
      </c>
      <c r="B107" s="16">
        <v>1.3440310107840001E-2</v>
      </c>
      <c r="C107" s="8" t="s">
        <v>138</v>
      </c>
      <c r="D107" s="33" t="str">
        <f t="shared" si="9"/>
        <v>No</v>
      </c>
      <c r="E107" s="19">
        <v>57666.51</v>
      </c>
      <c r="F107" s="19">
        <v>58276.99</v>
      </c>
      <c r="G107" s="19">
        <f>$B107*'Allergan Payments'!E$24</f>
        <v>55523.721805962094</v>
      </c>
      <c r="H107" s="19">
        <f>$B107*'Allergan Payments'!F$24</f>
        <v>55523.721805962086</v>
      </c>
      <c r="I107" s="19">
        <f>$B107*'Allergan Payments'!G$24</f>
        <v>55523.721808122325</v>
      </c>
      <c r="J107" s="19">
        <f>$B107*'Allergan Payments'!H$24</f>
        <v>55523.721808122325</v>
      </c>
      <c r="K107" s="19">
        <f>$B107*'Allergan Payments'!I$24</f>
        <v>55523.721808122325</v>
      </c>
      <c r="L107" s="39" t="s">
        <v>346</v>
      </c>
      <c r="M107" s="7">
        <f t="shared" si="8"/>
        <v>393562.10903629125</v>
      </c>
    </row>
    <row r="108" spans="1:13" x14ac:dyDescent="0.35">
      <c r="A108" s="3" t="s">
        <v>99</v>
      </c>
      <c r="B108" s="16">
        <v>9.2338019804800008E-3</v>
      </c>
      <c r="C108" s="8" t="s">
        <v>99</v>
      </c>
      <c r="D108" s="33" t="str">
        <f t="shared" si="9"/>
        <v>No</v>
      </c>
      <c r="E108" s="19">
        <v>39740.18</v>
      </c>
      <c r="F108" s="19">
        <v>40037.629999999997</v>
      </c>
      <c r="G108" s="19">
        <f>$B108*'Allergan Payments'!E$24</f>
        <v>38146.073138330947</v>
      </c>
      <c r="H108" s="19">
        <f>$B108*'Allergan Payments'!F$24</f>
        <v>38146.073138330939</v>
      </c>
      <c r="I108" s="19">
        <f>$B108*'Allergan Payments'!G$24</f>
        <v>38146.073139815075</v>
      </c>
      <c r="J108" s="19">
        <f>$B108*'Allergan Payments'!H$24</f>
        <v>38146.073139815075</v>
      </c>
      <c r="K108" s="19">
        <f>$B108*'Allergan Payments'!I$24</f>
        <v>38146.073139815075</v>
      </c>
      <c r="L108" s="39" t="s">
        <v>346</v>
      </c>
      <c r="M108" s="7">
        <f t="shared" si="8"/>
        <v>270508.17569610709</v>
      </c>
    </row>
    <row r="109" spans="1:13" x14ac:dyDescent="0.35">
      <c r="A109" s="3" t="s">
        <v>14</v>
      </c>
      <c r="B109" s="16">
        <v>2.7801574282541815E-4</v>
      </c>
      <c r="C109" s="8" t="s">
        <v>139</v>
      </c>
      <c r="D109" s="33" t="str">
        <f t="shared" si="9"/>
        <v>No</v>
      </c>
      <c r="E109" s="19">
        <v>1192.8399999999999</v>
      </c>
      <c r="F109" s="19">
        <v>1205.47</v>
      </c>
      <c r="G109" s="19">
        <f>$B109*'Allergan Payments'!E$24</f>
        <v>1148.5202825277088</v>
      </c>
      <c r="H109" s="19">
        <f>$B109*'Allergan Payments'!F$24</f>
        <v>1148.5202825277088</v>
      </c>
      <c r="I109" s="19">
        <f>$B109*'Allergan Payments'!G$24</f>
        <v>1148.5202825723939</v>
      </c>
      <c r="J109" s="19">
        <f>$B109*'Allergan Payments'!H$24</f>
        <v>1148.5202825723939</v>
      </c>
      <c r="K109" s="19">
        <f>$B109*'Allergan Payments'!I$24</f>
        <v>1148.5202825723936</v>
      </c>
      <c r="L109" s="39" t="s">
        <v>346</v>
      </c>
      <c r="M109" s="7">
        <f t="shared" si="8"/>
        <v>8140.9114127725989</v>
      </c>
    </row>
    <row r="110" spans="1:13" x14ac:dyDescent="0.35">
      <c r="A110" s="3" t="s">
        <v>140</v>
      </c>
      <c r="B110" s="16">
        <v>3.5251722027200001E-3</v>
      </c>
      <c r="C110" s="8" t="s">
        <v>140</v>
      </c>
      <c r="D110" s="33" t="str">
        <f t="shared" si="9"/>
        <v>No</v>
      </c>
      <c r="E110" s="19">
        <v>15124.98</v>
      </c>
      <c r="F110" s="19">
        <v>15285.09</v>
      </c>
      <c r="G110" s="19">
        <f>$B110*'Allergan Payments'!E$24</f>
        <v>14562.958676657488</v>
      </c>
      <c r="H110" s="19">
        <f>$B110*'Allergan Payments'!F$24</f>
        <v>14562.958676657487</v>
      </c>
      <c r="I110" s="19">
        <f>$B110*'Allergan Payments'!G$24</f>
        <v>14562.958677224084</v>
      </c>
      <c r="J110" s="19">
        <f>$B110*'Allergan Payments'!H$24</f>
        <v>14562.958677224084</v>
      </c>
      <c r="K110" s="19">
        <f>$B110*'Allergan Payments'!I$24</f>
        <v>14562.958677224082</v>
      </c>
      <c r="L110" s="39" t="s">
        <v>346</v>
      </c>
      <c r="M110" s="7">
        <f t="shared" si="8"/>
        <v>103224.86338498723</v>
      </c>
    </row>
    <row r="111" spans="1:13" x14ac:dyDescent="0.35">
      <c r="A111" s="3" t="s">
        <v>60</v>
      </c>
      <c r="B111" s="16">
        <v>3.2169530493678236E-4</v>
      </c>
      <c r="C111" s="8" t="s">
        <v>141</v>
      </c>
      <c r="D111" s="33" t="str">
        <f t="shared" si="9"/>
        <v>No</v>
      </c>
      <c r="E111" s="19">
        <v>1380.25</v>
      </c>
      <c r="F111" s="19">
        <v>1394.87</v>
      </c>
      <c r="G111" s="19">
        <f>$B111*'Allergan Payments'!E$24</f>
        <v>1328.9664058550961</v>
      </c>
      <c r="H111" s="19">
        <f>$B111*'Allergan Payments'!F$24</f>
        <v>1328.9664058550961</v>
      </c>
      <c r="I111" s="19">
        <f>$B111*'Allergan Payments'!G$24</f>
        <v>1328.9664059068018</v>
      </c>
      <c r="J111" s="19">
        <f>$B111*'Allergan Payments'!H$24</f>
        <v>1328.9664059068018</v>
      </c>
      <c r="K111" s="19">
        <f>$B111*'Allergan Payments'!I$24</f>
        <v>1328.9664059068016</v>
      </c>
      <c r="L111" s="39" t="s">
        <v>346</v>
      </c>
      <c r="M111" s="7">
        <f t="shared" si="8"/>
        <v>9419.9520294305967</v>
      </c>
    </row>
    <row r="112" spans="1:13" x14ac:dyDescent="0.35">
      <c r="A112" s="3" t="s">
        <v>22</v>
      </c>
      <c r="B112" s="16">
        <v>2.1422289115943018E-4</v>
      </c>
      <c r="C112" s="8" t="s">
        <v>142</v>
      </c>
      <c r="D112" s="33" t="str">
        <f t="shared" si="9"/>
        <v>No</v>
      </c>
      <c r="E112" s="19">
        <v>919.14</v>
      </c>
      <c r="F112" s="19">
        <v>928.87</v>
      </c>
      <c r="G112" s="19">
        <f>$B112*'Allergan Payments'!E$24</f>
        <v>884.98346524510816</v>
      </c>
      <c r="H112" s="19">
        <f>$B112*'Allergan Payments'!F$24</f>
        <v>884.98346524510805</v>
      </c>
      <c r="I112" s="19">
        <f>$B112*'Allergan Payments'!G$24</f>
        <v>884.98346527953981</v>
      </c>
      <c r="J112" s="19">
        <f>$B112*'Allergan Payments'!H$24</f>
        <v>884.98346527953981</v>
      </c>
      <c r="K112" s="19">
        <f>$B112*'Allergan Payments'!I$24</f>
        <v>884.9834652795397</v>
      </c>
      <c r="L112" s="39" t="s">
        <v>346</v>
      </c>
      <c r="M112" s="7">
        <f t="shared" si="8"/>
        <v>6272.927326328836</v>
      </c>
    </row>
    <row r="113" spans="1:13" x14ac:dyDescent="0.35">
      <c r="A113" s="3" t="s">
        <v>22</v>
      </c>
      <c r="B113" s="16">
        <v>2.8311153863745328E-4</v>
      </c>
      <c r="C113" s="8" t="s">
        <v>143</v>
      </c>
      <c r="D113" s="33" t="str">
        <f t="shared" si="9"/>
        <v>No</v>
      </c>
      <c r="E113" s="19">
        <v>1214.71</v>
      </c>
      <c r="F113" s="19">
        <v>1227.57</v>
      </c>
      <c r="G113" s="19">
        <f>$B113*'Allergan Payments'!E$24</f>
        <v>1169.5716977686698</v>
      </c>
      <c r="H113" s="19">
        <f>$B113*'Allergan Payments'!F$24</f>
        <v>1169.5716977686698</v>
      </c>
      <c r="I113" s="19">
        <f>$B113*'Allergan Payments'!G$24</f>
        <v>1169.5716978141738</v>
      </c>
      <c r="J113" s="19">
        <f>$B113*'Allergan Payments'!H$24</f>
        <v>1169.5716978141738</v>
      </c>
      <c r="K113" s="19">
        <f>$B113*'Allergan Payments'!I$24</f>
        <v>1169.5716978141736</v>
      </c>
      <c r="L113" s="39" t="s">
        <v>346</v>
      </c>
      <c r="M113" s="7">
        <f t="shared" si="8"/>
        <v>8290.138488979861</v>
      </c>
    </row>
    <row r="114" spans="1:13" x14ac:dyDescent="0.35">
      <c r="A114" s="3" t="s">
        <v>22</v>
      </c>
      <c r="B114" s="16">
        <v>2.0174925054156607E-4</v>
      </c>
      <c r="C114" s="8" t="s">
        <v>144</v>
      </c>
      <c r="D114" s="33" t="str">
        <f t="shared" si="9"/>
        <v>No</v>
      </c>
      <c r="E114" s="19">
        <v>865.62</v>
      </c>
      <c r="F114" s="19">
        <v>874.78</v>
      </c>
      <c r="G114" s="19">
        <f>$B114*'Allergan Payments'!E$24</f>
        <v>833.45318461788975</v>
      </c>
      <c r="H114" s="19">
        <f>$B114*'Allergan Payments'!F$24</f>
        <v>833.45318461788963</v>
      </c>
      <c r="I114" s="19">
        <f>$B114*'Allergan Payments'!G$24</f>
        <v>833.45318465031653</v>
      </c>
      <c r="J114" s="19">
        <f>$B114*'Allergan Payments'!H$24</f>
        <v>833.45318465031653</v>
      </c>
      <c r="K114" s="19">
        <f>$B114*'Allergan Payments'!I$24</f>
        <v>833.45318465031642</v>
      </c>
      <c r="L114" s="39" t="s">
        <v>346</v>
      </c>
      <c r="M114" s="7">
        <f t="shared" si="8"/>
        <v>5907.6659231867288</v>
      </c>
    </row>
    <row r="115" spans="1:13" x14ac:dyDescent="0.35">
      <c r="A115" s="3" t="s">
        <v>60</v>
      </c>
      <c r="B115" s="16">
        <v>3.393032077207899E-4</v>
      </c>
      <c r="C115" s="8" t="s">
        <v>145</v>
      </c>
      <c r="D115" s="33" t="str">
        <f t="shared" si="9"/>
        <v>No</v>
      </c>
      <c r="E115" s="19">
        <v>1455.8</v>
      </c>
      <c r="F115" s="19">
        <v>1471.21</v>
      </c>
      <c r="G115" s="19">
        <f>$B115*'Allergan Payments'!E$24</f>
        <v>1401.7070113858699</v>
      </c>
      <c r="H115" s="19">
        <f>$B115*'Allergan Payments'!F$24</f>
        <v>1401.7070113858697</v>
      </c>
      <c r="I115" s="19">
        <f>$B115*'Allergan Payments'!G$24</f>
        <v>1401.7070114404055</v>
      </c>
      <c r="J115" s="19">
        <f>$B115*'Allergan Payments'!H$24</f>
        <v>1401.7070114404055</v>
      </c>
      <c r="K115" s="19">
        <f>$B115*'Allergan Payments'!I$24</f>
        <v>1401.7070114404053</v>
      </c>
      <c r="L115" s="39" t="s">
        <v>346</v>
      </c>
      <c r="M115" s="7">
        <f t="shared" si="8"/>
        <v>9935.5450570929552</v>
      </c>
    </row>
    <row r="116" spans="1:13" x14ac:dyDescent="0.35">
      <c r="A116" s="3" t="s">
        <v>22</v>
      </c>
      <c r="B116" s="16">
        <v>1.0823453984616879E-3</v>
      </c>
      <c r="C116" s="8" t="s">
        <v>146</v>
      </c>
      <c r="D116" s="33" t="str">
        <f t="shared" si="9"/>
        <v>No</v>
      </c>
      <c r="E116" s="19">
        <v>4643.87</v>
      </c>
      <c r="F116" s="19">
        <v>4693.03</v>
      </c>
      <c r="G116" s="19">
        <f>$B116*'Allergan Payments'!E$24</f>
        <v>4471.3138551092543</v>
      </c>
      <c r="H116" s="19">
        <f>$B116*'Allergan Payments'!F$24</f>
        <v>4471.3138551092534</v>
      </c>
      <c r="I116" s="19">
        <f>$B116*'Allergan Payments'!G$24</f>
        <v>4471.313855283217</v>
      </c>
      <c r="J116" s="19">
        <f>$B116*'Allergan Payments'!H$24</f>
        <v>4471.313855283217</v>
      </c>
      <c r="K116" s="19">
        <f>$B116*'Allergan Payments'!I$24</f>
        <v>4471.313855283217</v>
      </c>
      <c r="L116" s="39" t="s">
        <v>346</v>
      </c>
      <c r="M116" s="7">
        <f t="shared" si="8"/>
        <v>31693.469276068157</v>
      </c>
    </row>
    <row r="117" spans="1:13" x14ac:dyDescent="0.35">
      <c r="A117" s="3" t="s">
        <v>22</v>
      </c>
      <c r="B117" s="16">
        <v>3.0210647514547408E-4</v>
      </c>
      <c r="C117" s="8" t="s">
        <v>147</v>
      </c>
      <c r="D117" s="33" t="str">
        <f t="shared" si="9"/>
        <v>No</v>
      </c>
      <c r="E117" s="19">
        <v>1296.21</v>
      </c>
      <c r="F117" s="19">
        <v>1309.93</v>
      </c>
      <c r="G117" s="19">
        <f>$B117*'Allergan Payments'!E$24</f>
        <v>1248.0423254499501</v>
      </c>
      <c r="H117" s="19">
        <f>$B117*'Allergan Payments'!F$24</f>
        <v>1248.0423254499499</v>
      </c>
      <c r="I117" s="19">
        <f>$B117*'Allergan Payments'!G$24</f>
        <v>1248.0423254985071</v>
      </c>
      <c r="J117" s="19">
        <f>$B117*'Allergan Payments'!H$24</f>
        <v>1248.0423254985071</v>
      </c>
      <c r="K117" s="19">
        <f>$B117*'Allergan Payments'!I$24</f>
        <v>1248.0423254985069</v>
      </c>
      <c r="L117" s="39" t="s">
        <v>346</v>
      </c>
      <c r="M117" s="7">
        <f t="shared" si="8"/>
        <v>8846.351627395421</v>
      </c>
    </row>
    <row r="118" spans="1:13" x14ac:dyDescent="0.35">
      <c r="A118" s="3" t="s">
        <v>75</v>
      </c>
      <c r="B118" s="16">
        <v>1.2420493545600001E-3</v>
      </c>
      <c r="C118" s="8" t="s">
        <v>148</v>
      </c>
      <c r="D118" s="33" t="str">
        <f t="shared" si="9"/>
        <v>No</v>
      </c>
      <c r="E118" s="19">
        <v>5329.09</v>
      </c>
      <c r="F118" s="19">
        <v>5385.51</v>
      </c>
      <c r="G118" s="19">
        <f>$B118*'Allergan Payments'!E$24</f>
        <v>5131.072295098058</v>
      </c>
      <c r="H118" s="19">
        <f>$B118*'Allergan Payments'!F$24</f>
        <v>5131.0722950980571</v>
      </c>
      <c r="I118" s="19">
        <f>$B118*'Allergan Payments'!G$24</f>
        <v>5131.0722952976903</v>
      </c>
      <c r="J118" s="19">
        <f>$B118*'Allergan Payments'!H$24</f>
        <v>5131.0722952976903</v>
      </c>
      <c r="K118" s="19">
        <f>$B118*'Allergan Payments'!I$24</f>
        <v>5131.0722952976894</v>
      </c>
      <c r="L118" s="39" t="s">
        <v>346</v>
      </c>
      <c r="M118" s="7">
        <f t="shared" si="8"/>
        <v>36369.961476089185</v>
      </c>
    </row>
    <row r="119" spans="1:13" x14ac:dyDescent="0.35">
      <c r="A119" s="3" t="s">
        <v>60</v>
      </c>
      <c r="B119" s="16">
        <v>2.9166464367653667E-6</v>
      </c>
      <c r="C119" s="8" t="s">
        <v>149</v>
      </c>
      <c r="D119" s="33" t="str">
        <f t="shared" si="9"/>
        <v>Yes</v>
      </c>
      <c r="E119" s="19">
        <v>87.47</v>
      </c>
      <c r="F119" s="19">
        <v>0</v>
      </c>
      <c r="G119" s="52">
        <f>$B119*'Allergan Payments'!E$24</f>
        <v>12.049057206414174</v>
      </c>
      <c r="H119" s="52">
        <f>$B119*'Allergan Payments'!F$24</f>
        <v>12.049057206414172</v>
      </c>
      <c r="I119" s="52">
        <f>$B119*'Allergan Payments'!G$24</f>
        <v>12.049057206882962</v>
      </c>
      <c r="J119" s="52">
        <f>$B119*'Allergan Payments'!H$24</f>
        <v>12.049057206882962</v>
      </c>
      <c r="K119" s="52">
        <f>$B119*'Allergan Payments'!I$24</f>
        <v>12.04905720688296</v>
      </c>
      <c r="L119" s="39" t="s">
        <v>346</v>
      </c>
      <c r="M119" s="7">
        <f>E119</f>
        <v>87.47</v>
      </c>
    </row>
    <row r="120" spans="1:13" x14ac:dyDescent="0.35">
      <c r="A120" s="3" t="s">
        <v>34</v>
      </c>
      <c r="B120" s="16">
        <v>4.3999575718258014E-4</v>
      </c>
      <c r="C120" s="8" t="s">
        <v>150</v>
      </c>
      <c r="D120" s="33" t="str">
        <f t="shared" si="9"/>
        <v>No</v>
      </c>
      <c r="E120" s="19">
        <v>1887.83</v>
      </c>
      <c r="F120" s="19">
        <v>1907.82</v>
      </c>
      <c r="G120" s="19">
        <f>$B120*'Allergan Payments'!E$24</f>
        <v>1817.6814241331085</v>
      </c>
      <c r="H120" s="19">
        <f>$B120*'Allergan Payments'!F$24</f>
        <v>1817.6814241331083</v>
      </c>
      <c r="I120" s="19">
        <f>$B120*'Allergan Payments'!G$24</f>
        <v>1817.6814242038281</v>
      </c>
      <c r="J120" s="19">
        <f>$B120*'Allergan Payments'!H$24</f>
        <v>1817.6814242038281</v>
      </c>
      <c r="K120" s="19">
        <f>$B120*'Allergan Payments'!I$24</f>
        <v>1817.6814242038281</v>
      </c>
      <c r="L120" s="39" t="s">
        <v>346</v>
      </c>
      <c r="M120" s="7">
        <f t="shared" si="8"/>
        <v>12884.0571208777</v>
      </c>
    </row>
    <row r="121" spans="1:13" x14ac:dyDescent="0.35">
      <c r="A121" s="3" t="s">
        <v>34</v>
      </c>
      <c r="B121" s="16">
        <v>1.7590962745185068E-4</v>
      </c>
      <c r="C121" s="8" t="s">
        <v>151</v>
      </c>
      <c r="D121" s="33" t="str">
        <f t="shared" si="9"/>
        <v>No</v>
      </c>
      <c r="E121" s="19">
        <v>754.75</v>
      </c>
      <c r="F121" s="19">
        <v>762.74</v>
      </c>
      <c r="G121" s="19">
        <f>$B121*'Allergan Payments'!E$24</f>
        <v>726.70623960749322</v>
      </c>
      <c r="H121" s="19">
        <f>$B121*'Allergan Payments'!F$24</f>
        <v>726.70623960749322</v>
      </c>
      <c r="I121" s="19">
        <f>$B121*'Allergan Payments'!G$24</f>
        <v>726.70623963576691</v>
      </c>
      <c r="J121" s="19">
        <f>$B121*'Allergan Payments'!H$24</f>
        <v>726.70623963576691</v>
      </c>
      <c r="K121" s="19">
        <f>$B121*'Allergan Payments'!I$24</f>
        <v>726.70623963576679</v>
      </c>
      <c r="L121" s="39" t="s">
        <v>346</v>
      </c>
      <c r="M121" s="7">
        <f t="shared" si="8"/>
        <v>5151.0211981222874</v>
      </c>
    </row>
    <row r="122" spans="1:13" x14ac:dyDescent="0.35">
      <c r="A122" s="3" t="s">
        <v>22</v>
      </c>
      <c r="B122" s="16">
        <v>2.339422737512214E-4</v>
      </c>
      <c r="C122" s="8" t="s">
        <v>152</v>
      </c>
      <c r="D122" s="33" t="str">
        <f t="shared" si="9"/>
        <v>No</v>
      </c>
      <c r="E122" s="19">
        <v>1003.74</v>
      </c>
      <c r="F122" s="19">
        <v>1014.37</v>
      </c>
      <c r="G122" s="19">
        <f>$B122*'Allergan Payments'!E$24</f>
        <v>966.44687676068577</v>
      </c>
      <c r="H122" s="19">
        <f>$B122*'Allergan Payments'!F$24</f>
        <v>966.44687676068565</v>
      </c>
      <c r="I122" s="19">
        <f>$B122*'Allergan Payments'!G$24</f>
        <v>966.44687679828689</v>
      </c>
      <c r="J122" s="19">
        <f>$B122*'Allergan Payments'!H$24</f>
        <v>966.44687679828689</v>
      </c>
      <c r="K122" s="19">
        <f>$B122*'Allergan Payments'!I$24</f>
        <v>966.44687679828678</v>
      </c>
      <c r="L122" s="39" t="s">
        <v>346</v>
      </c>
      <c r="M122" s="7">
        <f t="shared" si="8"/>
        <v>6850.3443839162328</v>
      </c>
    </row>
    <row r="123" spans="1:13" x14ac:dyDescent="0.35">
      <c r="A123" s="3" t="s">
        <v>153</v>
      </c>
      <c r="B123" s="16">
        <v>4.1796783504000007E-3</v>
      </c>
      <c r="C123" s="8" t="s">
        <v>153</v>
      </c>
      <c r="D123" s="33" t="str">
        <f t="shared" si="9"/>
        <v>No</v>
      </c>
      <c r="E123" s="19">
        <v>17933.18</v>
      </c>
      <c r="F123" s="19">
        <v>18123.02</v>
      </c>
      <c r="G123" s="19">
        <f>$B123*'Allergan Payments'!E$24</f>
        <v>17266.811264320484</v>
      </c>
      <c r="H123" s="19">
        <f>$B123*'Allergan Payments'!F$24</f>
        <v>17266.81126432048</v>
      </c>
      <c r="I123" s="19">
        <f>$B123*'Allergan Payments'!G$24</f>
        <v>17266.811264992277</v>
      </c>
      <c r="J123" s="19">
        <f>$B123*'Allergan Payments'!H$24</f>
        <v>17266.811264992277</v>
      </c>
      <c r="K123" s="19">
        <f>$B123*'Allergan Payments'!I$24</f>
        <v>17266.811264992273</v>
      </c>
      <c r="L123" s="39" t="s">
        <v>346</v>
      </c>
      <c r="M123" s="7">
        <f t="shared" si="8"/>
        <v>122390.25632361778</v>
      </c>
    </row>
    <row r="124" spans="1:13" x14ac:dyDescent="0.35">
      <c r="A124" s="3" t="s">
        <v>24</v>
      </c>
      <c r="B124" s="16">
        <v>1.7432722105140133E-4</v>
      </c>
      <c r="C124" s="8" t="s">
        <v>154</v>
      </c>
      <c r="D124" s="33" t="str">
        <f t="shared" si="9"/>
        <v>No</v>
      </c>
      <c r="E124" s="19">
        <v>747.96</v>
      </c>
      <c r="F124" s="19">
        <v>755.88</v>
      </c>
      <c r="G124" s="19">
        <f>$B124*'Allergan Payments'!E$24</f>
        <v>720.16910675434042</v>
      </c>
      <c r="H124" s="19">
        <f>$B124*'Allergan Payments'!F$24</f>
        <v>720.16910675434031</v>
      </c>
      <c r="I124" s="19">
        <f>$B124*'Allergan Payments'!G$24</f>
        <v>720.16910678235968</v>
      </c>
      <c r="J124" s="19">
        <f>$B124*'Allergan Payments'!H$24</f>
        <v>720.16910678235968</v>
      </c>
      <c r="K124" s="19">
        <f>$B124*'Allergan Payments'!I$24</f>
        <v>720.16910678235956</v>
      </c>
      <c r="L124" s="39" t="s">
        <v>346</v>
      </c>
      <c r="M124" s="7">
        <f t="shared" si="8"/>
        <v>5104.6855338557598</v>
      </c>
    </row>
    <row r="125" spans="1:13" x14ac:dyDescent="0.35">
      <c r="A125" s="3" t="s">
        <v>155</v>
      </c>
      <c r="B125" s="16">
        <v>9.8946865237466131E-4</v>
      </c>
      <c r="C125" s="8" t="s">
        <v>156</v>
      </c>
      <c r="D125" s="33" t="str">
        <f t="shared" si="9"/>
        <v>No</v>
      </c>
      <c r="E125" s="19">
        <v>4245.38</v>
      </c>
      <c r="F125" s="19">
        <v>4290.32</v>
      </c>
      <c r="G125" s="19">
        <f>$B125*'Allergan Payments'!E$24</f>
        <v>4087.6275732748086</v>
      </c>
      <c r="H125" s="19">
        <f>$B125*'Allergan Payments'!F$24</f>
        <v>4087.6275732748081</v>
      </c>
      <c r="I125" s="19">
        <f>$B125*'Allergan Payments'!G$24</f>
        <v>4087.6275734338442</v>
      </c>
      <c r="J125" s="19">
        <f>$B125*'Allergan Payments'!H$24</f>
        <v>4087.6275734338442</v>
      </c>
      <c r="K125" s="19">
        <f>$B125*'Allergan Payments'!I$24</f>
        <v>4087.6275734338437</v>
      </c>
      <c r="L125" s="39" t="s">
        <v>346</v>
      </c>
      <c r="M125" s="7">
        <f t="shared" si="8"/>
        <v>28973.837866851154</v>
      </c>
    </row>
    <row r="126" spans="1:13" x14ac:dyDescent="0.35">
      <c r="A126" s="3" t="s">
        <v>34</v>
      </c>
      <c r="B126" s="16">
        <v>2.4496551937617135E-5</v>
      </c>
      <c r="C126" s="8" t="s">
        <v>157</v>
      </c>
      <c r="D126" s="33" t="str">
        <f t="shared" si="9"/>
        <v>Yes</v>
      </c>
      <c r="E126" s="19">
        <v>734.65</v>
      </c>
      <c r="F126" s="19">
        <v>0</v>
      </c>
      <c r="G126" s="52">
        <f>$B126*'Allergan Payments'!E$24</f>
        <v>101.19853813463418</v>
      </c>
      <c r="H126" s="52">
        <f>$B126*'Allergan Payments'!F$24</f>
        <v>101.19853813463416</v>
      </c>
      <c r="I126" s="52">
        <f>$B126*'Allergan Payments'!G$24</f>
        <v>101.19853813857145</v>
      </c>
      <c r="J126" s="52">
        <f>$B126*'Allergan Payments'!H$24</f>
        <v>101.19853813857145</v>
      </c>
      <c r="K126" s="52">
        <f>$B126*'Allergan Payments'!I$24</f>
        <v>101.19853813857145</v>
      </c>
      <c r="L126" s="39" t="s">
        <v>346</v>
      </c>
      <c r="M126" s="7">
        <f>E126</f>
        <v>734.65</v>
      </c>
    </row>
    <row r="127" spans="1:13" x14ac:dyDescent="0.35">
      <c r="A127" s="3" t="s">
        <v>158</v>
      </c>
      <c r="B127" s="16">
        <v>2.4927201566399999E-3</v>
      </c>
      <c r="C127" s="8" t="s">
        <v>158</v>
      </c>
      <c r="D127" s="33" t="str">
        <f t="shared" si="9"/>
        <v>No</v>
      </c>
      <c r="E127" s="19">
        <v>10695.17</v>
      </c>
      <c r="F127" s="19">
        <v>10808.4</v>
      </c>
      <c r="G127" s="19">
        <f>$B127*'Allergan Payments'!E$24</f>
        <v>10297.760945014144</v>
      </c>
      <c r="H127" s="19">
        <f>$B127*'Allergan Payments'!F$24</f>
        <v>10297.760945014143</v>
      </c>
      <c r="I127" s="19">
        <f>$B127*'Allergan Payments'!G$24</f>
        <v>10297.760945414795</v>
      </c>
      <c r="J127" s="19">
        <f>$B127*'Allergan Payments'!H$24</f>
        <v>10297.760945414795</v>
      </c>
      <c r="K127" s="19">
        <f>$B127*'Allergan Payments'!I$24</f>
        <v>10297.760945414793</v>
      </c>
      <c r="L127" s="39" t="s">
        <v>346</v>
      </c>
      <c r="M127" s="7">
        <f t="shared" si="8"/>
        <v>72992.374726272668</v>
      </c>
    </row>
    <row r="128" spans="1:13" x14ac:dyDescent="0.35">
      <c r="A128" s="3" t="s">
        <v>22</v>
      </c>
      <c r="B128" s="16">
        <v>4.0472692288000007E-4</v>
      </c>
      <c r="C128" s="8" t="s">
        <v>159</v>
      </c>
      <c r="D128" s="33" t="str">
        <f t="shared" si="9"/>
        <v>No</v>
      </c>
      <c r="E128" s="19">
        <v>1736.51</v>
      </c>
      <c r="F128" s="19">
        <v>1754.89</v>
      </c>
      <c r="G128" s="19">
        <f>$B128*'Allergan Payments'!E$24</f>
        <v>1671.9811442642133</v>
      </c>
      <c r="H128" s="19">
        <f>$B128*'Allergan Payments'!F$24</f>
        <v>1671.9811442642131</v>
      </c>
      <c r="I128" s="19">
        <f>$B128*'Allergan Payments'!G$24</f>
        <v>1671.9811443292645</v>
      </c>
      <c r="J128" s="19">
        <f>$B128*'Allergan Payments'!H$24</f>
        <v>1671.9811443292645</v>
      </c>
      <c r="K128" s="19">
        <f>$B128*'Allergan Payments'!I$24</f>
        <v>1671.9811443292642</v>
      </c>
      <c r="L128" s="39" t="s">
        <v>346</v>
      </c>
      <c r="M128" s="7">
        <f t="shared" si="8"/>
        <v>11851.305721516219</v>
      </c>
    </row>
    <row r="129" spans="1:13" x14ac:dyDescent="0.35">
      <c r="A129" s="3" t="s">
        <v>160</v>
      </c>
      <c r="B129" s="16">
        <v>1.7506615174257315E-3</v>
      </c>
      <c r="C129" s="8" t="s">
        <v>160</v>
      </c>
      <c r="D129" s="33" t="str">
        <f t="shared" si="9"/>
        <v>No</v>
      </c>
      <c r="E129" s="19">
        <v>7511.32</v>
      </c>
      <c r="F129" s="19">
        <v>7590.84</v>
      </c>
      <c r="G129" s="19">
        <f>$B129*'Allergan Payments'!E$24</f>
        <v>7232.217284424798</v>
      </c>
      <c r="H129" s="19">
        <f>$B129*'Allergan Payments'!F$24</f>
        <v>7232.2172844247971</v>
      </c>
      <c r="I129" s="19">
        <f>$B129*'Allergan Payments'!G$24</f>
        <v>7232.2172847061784</v>
      </c>
      <c r="J129" s="19">
        <f>$B129*'Allergan Payments'!H$24</f>
        <v>7232.2172847061784</v>
      </c>
      <c r="K129" s="19">
        <f>$B129*'Allergan Payments'!I$24</f>
        <v>7232.2172847061775</v>
      </c>
      <c r="L129" s="39" t="s">
        <v>346</v>
      </c>
      <c r="M129" s="7">
        <f t="shared" si="8"/>
        <v>51263.246422968135</v>
      </c>
    </row>
    <row r="130" spans="1:13" x14ac:dyDescent="0.35">
      <c r="A130" s="3" t="s">
        <v>34</v>
      </c>
      <c r="B130" s="16">
        <v>4.9320093758848142E-4</v>
      </c>
      <c r="C130" s="8" t="s">
        <v>161</v>
      </c>
      <c r="D130" s="33" t="str">
        <f t="shared" si="9"/>
        <v>No</v>
      </c>
      <c r="E130" s="19">
        <v>2116.11</v>
      </c>
      <c r="F130" s="19">
        <v>2138.5100000000002</v>
      </c>
      <c r="G130" s="19">
        <f>$B130*'Allergan Payments'!E$24</f>
        <v>2037.4791528901312</v>
      </c>
      <c r="H130" s="19">
        <f>$B130*'Allergan Payments'!F$24</f>
        <v>2037.479152890131</v>
      </c>
      <c r="I130" s="19">
        <f>$B130*'Allergan Payments'!G$24</f>
        <v>2037.4791529694025</v>
      </c>
      <c r="J130" s="19">
        <f>$B130*'Allergan Payments'!H$24</f>
        <v>2037.4791529694025</v>
      </c>
      <c r="K130" s="19">
        <f>$B130*'Allergan Payments'!I$24</f>
        <v>2037.4791529694023</v>
      </c>
      <c r="L130" s="39" t="s">
        <v>346</v>
      </c>
      <c r="M130" s="7">
        <f t="shared" si="8"/>
        <v>14442.015764688473</v>
      </c>
    </row>
    <row r="131" spans="1:13" x14ac:dyDescent="0.35">
      <c r="A131" s="3" t="s">
        <v>90</v>
      </c>
      <c r="B131" s="16">
        <v>2.3910807429600001E-2</v>
      </c>
      <c r="C131" s="8" t="s">
        <v>90</v>
      </c>
      <c r="D131" s="33" t="str">
        <f t="shared" si="9"/>
        <v>No</v>
      </c>
      <c r="E131" s="19">
        <v>102590.85</v>
      </c>
      <c r="F131" s="19">
        <v>103676.91</v>
      </c>
      <c r="G131" s="19">
        <f>$B131*'Allergan Payments'!E$24</f>
        <v>98778.749093193648</v>
      </c>
      <c r="H131" s="19">
        <f>$B131*'Allergan Payments'!F$24</f>
        <v>98778.749093193634</v>
      </c>
      <c r="I131" s="19">
        <f>$B131*'Allergan Payments'!G$24</f>
        <v>98778.749097036794</v>
      </c>
      <c r="J131" s="19">
        <f>$B131*'Allergan Payments'!H$24</f>
        <v>98778.749097036794</v>
      </c>
      <c r="K131" s="19">
        <f>$B131*'Allergan Payments'!I$24</f>
        <v>98778.74909703678</v>
      </c>
      <c r="L131" s="39" t="s">
        <v>346</v>
      </c>
      <c r="M131" s="7">
        <f t="shared" si="8"/>
        <v>700161.5054774977</v>
      </c>
    </row>
    <row r="132" spans="1:13" x14ac:dyDescent="0.35">
      <c r="A132" s="3" t="s">
        <v>22</v>
      </c>
      <c r="B132" s="16">
        <v>9.9756728509450506E-4</v>
      </c>
      <c r="C132" s="8" t="s">
        <v>162</v>
      </c>
      <c r="D132" s="33" t="str">
        <f t="shared" si="9"/>
        <v>No</v>
      </c>
      <c r="E132" s="19">
        <v>4280.13</v>
      </c>
      <c r="F132" s="19">
        <v>4325.4399999999996</v>
      </c>
      <c r="G132" s="19">
        <f>$B132*'Allergan Payments'!E$24</f>
        <v>4121.0841101059768</v>
      </c>
      <c r="H132" s="19">
        <f>$B132*'Allergan Payments'!F$24</f>
        <v>4121.0841101059759</v>
      </c>
      <c r="I132" s="19">
        <f>$B132*'Allergan Payments'!G$24</f>
        <v>4121.0841102663135</v>
      </c>
      <c r="J132" s="19">
        <f>$B132*'Allergan Payments'!H$24</f>
        <v>4121.0841102663135</v>
      </c>
      <c r="K132" s="19">
        <f>$B132*'Allergan Payments'!I$24</f>
        <v>4121.0841102663135</v>
      </c>
      <c r="L132" s="39" t="s">
        <v>346</v>
      </c>
      <c r="M132" s="7">
        <f t="shared" ref="M132:M195" si="10">SUM(E132:L132)</f>
        <v>29210.990551010898</v>
      </c>
    </row>
    <row r="133" spans="1:13" x14ac:dyDescent="0.35">
      <c r="A133" s="3" t="s">
        <v>163</v>
      </c>
      <c r="B133" s="16">
        <v>2.684628549727351E-4</v>
      </c>
      <c r="C133" s="8" t="s">
        <v>164</v>
      </c>
      <c r="D133" s="33" t="str">
        <f t="shared" si="9"/>
        <v>No</v>
      </c>
      <c r="E133" s="19">
        <v>1151.8599999999999</v>
      </c>
      <c r="F133" s="19">
        <v>1164.05</v>
      </c>
      <c r="G133" s="19">
        <f>$B133*'Allergan Payments'!E$24</f>
        <v>1109.056022899761</v>
      </c>
      <c r="H133" s="19">
        <f>$B133*'Allergan Payments'!F$24</f>
        <v>1109.056022899761</v>
      </c>
      <c r="I133" s="19">
        <f>$B133*'Allergan Payments'!G$24</f>
        <v>1109.0560229429107</v>
      </c>
      <c r="J133" s="19">
        <f>$B133*'Allergan Payments'!H$24</f>
        <v>1109.0560229429107</v>
      </c>
      <c r="K133" s="19">
        <f>$B133*'Allergan Payments'!I$24</f>
        <v>1109.0560229429104</v>
      </c>
      <c r="L133" s="39" t="s">
        <v>346</v>
      </c>
      <c r="M133" s="7">
        <f t="shared" si="10"/>
        <v>7861.1901146282526</v>
      </c>
    </row>
    <row r="134" spans="1:13" x14ac:dyDescent="0.35">
      <c r="A134" s="3" t="s">
        <v>163</v>
      </c>
      <c r="B134" s="16">
        <v>5.4943125126400002E-3</v>
      </c>
      <c r="C134" s="8" t="s">
        <v>163</v>
      </c>
      <c r="D134" s="33" t="str">
        <f t="shared" si="9"/>
        <v>No</v>
      </c>
      <c r="E134" s="19">
        <v>23573.7</v>
      </c>
      <c r="F134" s="19">
        <v>23823.26</v>
      </c>
      <c r="G134" s="19">
        <f>$B134*'Allergan Payments'!E$24</f>
        <v>22697.741124952885</v>
      </c>
      <c r="H134" s="19">
        <f>$B134*'Allergan Payments'!F$24</f>
        <v>22697.741124952885</v>
      </c>
      <c r="I134" s="19">
        <f>$B134*'Allergan Payments'!G$24</f>
        <v>22697.741125835975</v>
      </c>
      <c r="J134" s="19">
        <f>$B134*'Allergan Payments'!H$24</f>
        <v>22697.741125835975</v>
      </c>
      <c r="K134" s="19">
        <f>$B134*'Allergan Payments'!I$24</f>
        <v>22697.741125835975</v>
      </c>
      <c r="L134" s="39" t="s">
        <v>346</v>
      </c>
      <c r="M134" s="7">
        <f t="shared" si="10"/>
        <v>160885.66562741369</v>
      </c>
    </row>
    <row r="135" spans="1:13" x14ac:dyDescent="0.35">
      <c r="A135" s="3" t="s">
        <v>165</v>
      </c>
      <c r="B135" s="16">
        <v>3.5979730057600005E-3</v>
      </c>
      <c r="C135" s="8" t="s">
        <v>165</v>
      </c>
      <c r="D135" s="33" t="str">
        <f t="shared" si="9"/>
        <v>No</v>
      </c>
      <c r="E135" s="19">
        <v>15437.33</v>
      </c>
      <c r="F135" s="19">
        <v>15600.76</v>
      </c>
      <c r="G135" s="19">
        <f>$B135*'Allergan Payments'!E$24</f>
        <v>14863.708547963341</v>
      </c>
      <c r="H135" s="19">
        <f>$B135*'Allergan Payments'!F$24</f>
        <v>14863.708547963339</v>
      </c>
      <c r="I135" s="19">
        <f>$B135*'Allergan Payments'!G$24</f>
        <v>14863.708548541636</v>
      </c>
      <c r="J135" s="19">
        <f>$B135*'Allergan Payments'!H$24</f>
        <v>14863.708548541636</v>
      </c>
      <c r="K135" s="19">
        <f>$B135*'Allergan Payments'!I$24</f>
        <v>14863.708548541634</v>
      </c>
      <c r="L135" s="39" t="s">
        <v>346</v>
      </c>
      <c r="M135" s="7">
        <f t="shared" si="10"/>
        <v>105356.63274155158</v>
      </c>
    </row>
    <row r="136" spans="1:13" x14ac:dyDescent="0.35">
      <c r="A136" s="3" t="s">
        <v>166</v>
      </c>
      <c r="B136" s="16">
        <v>1.23477897536E-3</v>
      </c>
      <c r="C136" s="8" t="s">
        <v>166</v>
      </c>
      <c r="D136" s="33" t="str">
        <f t="shared" si="9"/>
        <v>No</v>
      </c>
      <c r="E136" s="19">
        <v>5297.9</v>
      </c>
      <c r="F136" s="19">
        <v>5353.98</v>
      </c>
      <c r="G136" s="19">
        <f>$B136*'Allergan Payments'!E$24</f>
        <v>5101.0373845278627</v>
      </c>
      <c r="H136" s="19">
        <f>$B136*'Allergan Payments'!F$24</f>
        <v>5101.0373845278627</v>
      </c>
      <c r="I136" s="19">
        <f>$B136*'Allergan Payments'!G$24</f>
        <v>5101.0373847263263</v>
      </c>
      <c r="J136" s="19">
        <f>$B136*'Allergan Payments'!H$24</f>
        <v>5101.0373847263263</v>
      </c>
      <c r="K136" s="19">
        <f>$B136*'Allergan Payments'!I$24</f>
        <v>5101.0373847263263</v>
      </c>
      <c r="L136" s="39" t="s">
        <v>346</v>
      </c>
      <c r="M136" s="7">
        <f t="shared" si="10"/>
        <v>36157.066923234699</v>
      </c>
    </row>
    <row r="137" spans="1:13" x14ac:dyDescent="0.35">
      <c r="A137" s="3" t="s">
        <v>98</v>
      </c>
      <c r="B137" s="16">
        <v>1.0289042960000001E-4</v>
      </c>
      <c r="C137" s="8" t="s">
        <v>167</v>
      </c>
      <c r="D137" s="33" t="str">
        <f t="shared" si="9"/>
        <v>No</v>
      </c>
      <c r="E137" s="19">
        <v>441.46</v>
      </c>
      <c r="F137" s="19">
        <v>446.13</v>
      </c>
      <c r="G137" s="19">
        <f>$B137*'Allergan Payments'!E$24</f>
        <v>425.05415007306289</v>
      </c>
      <c r="H137" s="19">
        <f>$B137*'Allergan Payments'!F$24</f>
        <v>425.05415007306283</v>
      </c>
      <c r="I137" s="19">
        <f>$B137*'Allergan Payments'!G$24</f>
        <v>425.05415008960028</v>
      </c>
      <c r="J137" s="19">
        <f>$B137*'Allergan Payments'!H$24</f>
        <v>425.05415008960028</v>
      </c>
      <c r="K137" s="19">
        <f>$B137*'Allergan Payments'!I$24</f>
        <v>425.05415008960023</v>
      </c>
      <c r="L137" s="39" t="s">
        <v>346</v>
      </c>
      <c r="M137" s="7">
        <f t="shared" si="10"/>
        <v>3012.8607504149263</v>
      </c>
    </row>
    <row r="138" spans="1:13" x14ac:dyDescent="0.35">
      <c r="A138" s="3" t="s">
        <v>168</v>
      </c>
      <c r="B138" s="16">
        <v>6.4066292393600011E-3</v>
      </c>
      <c r="C138" s="8" t="s">
        <v>168</v>
      </c>
      <c r="D138" s="33" t="str">
        <f t="shared" si="9"/>
        <v>No</v>
      </c>
      <c r="E138" s="19">
        <v>27488.05</v>
      </c>
      <c r="F138" s="19">
        <v>27779.05</v>
      </c>
      <c r="G138" s="19">
        <f>$B138*'Allergan Payments'!E$24</f>
        <v>26466.643756431535</v>
      </c>
      <c r="H138" s="19">
        <f>$B138*'Allergan Payments'!F$24</f>
        <v>26466.643756431531</v>
      </c>
      <c r="I138" s="19">
        <f>$B138*'Allergan Payments'!G$24</f>
        <v>26466.643757461261</v>
      </c>
      <c r="J138" s="19">
        <f>$B138*'Allergan Payments'!H$24</f>
        <v>26466.643757461261</v>
      </c>
      <c r="K138" s="19">
        <f>$B138*'Allergan Payments'!I$24</f>
        <v>26466.643757461257</v>
      </c>
      <c r="L138" s="39" t="s">
        <v>346</v>
      </c>
      <c r="M138" s="7">
        <f t="shared" si="10"/>
        <v>187600.31878524681</v>
      </c>
    </row>
    <row r="139" spans="1:13" x14ac:dyDescent="0.35">
      <c r="A139" s="3" t="s">
        <v>55</v>
      </c>
      <c r="B139" s="16">
        <v>1.9759611312000001E-3</v>
      </c>
      <c r="C139" s="8" t="s">
        <v>169</v>
      </c>
      <c r="D139" s="33" t="str">
        <f t="shared" si="9"/>
        <v>No</v>
      </c>
      <c r="E139" s="19">
        <v>8477.99</v>
      </c>
      <c r="F139" s="19">
        <v>8567.74</v>
      </c>
      <c r="G139" s="19">
        <f>$B139*'Allergan Payments'!E$24</f>
        <v>8162.9601748657087</v>
      </c>
      <c r="H139" s="19">
        <f>$B139*'Allergan Payments'!F$24</f>
        <v>8162.9601748657078</v>
      </c>
      <c r="I139" s="19">
        <f>$B139*'Allergan Payments'!G$24</f>
        <v>8162.9601751833015</v>
      </c>
      <c r="J139" s="19">
        <f>$B139*'Allergan Payments'!H$24</f>
        <v>8162.9601751833015</v>
      </c>
      <c r="K139" s="19">
        <f>$B139*'Allergan Payments'!I$24</f>
        <v>8162.9601751833006</v>
      </c>
      <c r="L139" s="39" t="s">
        <v>346</v>
      </c>
      <c r="M139" s="7">
        <f t="shared" si="10"/>
        <v>57860.530875281322</v>
      </c>
    </row>
    <row r="140" spans="1:13" x14ac:dyDescent="0.35">
      <c r="A140" s="3" t="s">
        <v>55</v>
      </c>
      <c r="B140" s="16">
        <v>6.4866012853422349E-3</v>
      </c>
      <c r="C140" s="8" t="s">
        <v>55</v>
      </c>
      <c r="D140" s="33" t="str">
        <f t="shared" si="9"/>
        <v>No</v>
      </c>
      <c r="E140" s="19">
        <v>27831.18</v>
      </c>
      <c r="F140" s="19">
        <v>28125.81</v>
      </c>
      <c r="G140" s="19">
        <f>$B140*'Allergan Payments'!E$24</f>
        <v>26797.018993144342</v>
      </c>
      <c r="H140" s="19">
        <f>$B140*'Allergan Payments'!F$24</f>
        <v>26797.018993144338</v>
      </c>
      <c r="I140" s="19">
        <f>$B140*'Allergan Payments'!G$24</f>
        <v>26797.018994186921</v>
      </c>
      <c r="J140" s="19">
        <f>$B140*'Allergan Payments'!H$24</f>
        <v>26797.018994186921</v>
      </c>
      <c r="K140" s="19">
        <f>$B140*'Allergan Payments'!I$24</f>
        <v>26797.018994186918</v>
      </c>
      <c r="L140" s="39" t="s">
        <v>346</v>
      </c>
      <c r="M140" s="7">
        <f t="shared" si="10"/>
        <v>189942.08496884943</v>
      </c>
    </row>
    <row r="141" spans="1:13" x14ac:dyDescent="0.35">
      <c r="A141" s="3" t="s">
        <v>83</v>
      </c>
      <c r="B141" s="16">
        <v>3.1086096476003178E-4</v>
      </c>
      <c r="C141" s="8" t="s">
        <v>170</v>
      </c>
      <c r="D141" s="33" t="str">
        <f t="shared" si="9"/>
        <v>No</v>
      </c>
      <c r="E141" s="19">
        <v>1333.77</v>
      </c>
      <c r="F141" s="19">
        <v>1347.89</v>
      </c>
      <c r="G141" s="19">
        <f>$B141*'Allergan Payments'!E$24</f>
        <v>1284.2082949857529</v>
      </c>
      <c r="H141" s="19">
        <f>$B141*'Allergan Payments'!F$24</f>
        <v>1284.2082949857529</v>
      </c>
      <c r="I141" s="19">
        <f>$B141*'Allergan Payments'!G$24</f>
        <v>1284.2082950357171</v>
      </c>
      <c r="J141" s="19">
        <f>$B141*'Allergan Payments'!H$24</f>
        <v>1284.2082950357171</v>
      </c>
      <c r="K141" s="19">
        <f>$B141*'Allergan Payments'!I$24</f>
        <v>1284.2082950357169</v>
      </c>
      <c r="L141" s="39" t="s">
        <v>346</v>
      </c>
      <c r="M141" s="7">
        <f t="shared" si="10"/>
        <v>9102.7014750786566</v>
      </c>
    </row>
    <row r="142" spans="1:13" x14ac:dyDescent="0.35">
      <c r="A142" s="3" t="s">
        <v>83</v>
      </c>
      <c r="B142" s="16">
        <v>2.2630631961371855E-3</v>
      </c>
      <c r="C142" s="8" t="s">
        <v>171</v>
      </c>
      <c r="D142" s="33" t="str">
        <f t="shared" si="9"/>
        <v>No</v>
      </c>
      <c r="E142" s="19">
        <v>9709.82</v>
      </c>
      <c r="F142" s="19">
        <v>9812.61</v>
      </c>
      <c r="G142" s="19">
        <f>$B142*'Allergan Payments'!E$24</f>
        <v>9349.0172714345481</v>
      </c>
      <c r="H142" s="19">
        <f>$B142*'Allergan Payments'!F$24</f>
        <v>9349.0172714345481</v>
      </c>
      <c r="I142" s="19">
        <f>$B142*'Allergan Payments'!G$24</f>
        <v>9349.0172717982859</v>
      </c>
      <c r="J142" s="19">
        <f>$B142*'Allergan Payments'!H$24</f>
        <v>9349.0172717982859</v>
      </c>
      <c r="K142" s="19">
        <f>$B142*'Allergan Payments'!I$24</f>
        <v>9349.0172717982859</v>
      </c>
      <c r="L142" s="39" t="s">
        <v>346</v>
      </c>
      <c r="M142" s="7">
        <f t="shared" si="10"/>
        <v>66267.516358263951</v>
      </c>
    </row>
    <row r="143" spans="1:13" x14ac:dyDescent="0.35">
      <c r="A143" s="3" t="s">
        <v>83</v>
      </c>
      <c r="B143" s="16">
        <v>2.2227072397600002E-2</v>
      </c>
      <c r="C143" s="8" t="s">
        <v>83</v>
      </c>
      <c r="D143" s="33" t="str">
        <f t="shared" si="9"/>
        <v>No</v>
      </c>
      <c r="E143" s="19">
        <v>95366.67</v>
      </c>
      <c r="F143" s="19">
        <v>96376.26</v>
      </c>
      <c r="G143" s="19">
        <f>$B143*'Allergan Payments'!E$24</f>
        <v>91823.014086961339</v>
      </c>
      <c r="H143" s="19">
        <f>$B143*'Allergan Payments'!F$24</f>
        <v>91823.014086961339</v>
      </c>
      <c r="I143" s="19">
        <f>$B143*'Allergan Payments'!G$24</f>
        <v>91823.014090533863</v>
      </c>
      <c r="J143" s="19">
        <f>$B143*'Allergan Payments'!H$24</f>
        <v>91823.014090533863</v>
      </c>
      <c r="K143" s="19">
        <f>$B143*'Allergan Payments'!I$24</f>
        <v>91823.014090533849</v>
      </c>
      <c r="L143" s="39" t="s">
        <v>346</v>
      </c>
      <c r="M143" s="7">
        <f t="shared" si="10"/>
        <v>650858.00044552423</v>
      </c>
    </row>
    <row r="144" spans="1:13" x14ac:dyDescent="0.35">
      <c r="A144" s="3" t="s">
        <v>172</v>
      </c>
      <c r="B144" s="16">
        <v>9.8379769212851402E-4</v>
      </c>
      <c r="C144" s="8" t="s">
        <v>172</v>
      </c>
      <c r="D144" s="33" t="str">
        <f t="shared" si="9"/>
        <v>No</v>
      </c>
      <c r="E144" s="19">
        <v>4221.05</v>
      </c>
      <c r="F144" s="19">
        <v>4265.7299999999996</v>
      </c>
      <c r="G144" s="19">
        <f>$B144*'Allergan Payments'!E$24</f>
        <v>4064.200076695241</v>
      </c>
      <c r="H144" s="19">
        <f>$B144*'Allergan Payments'!F$24</f>
        <v>4064.2000766952406</v>
      </c>
      <c r="I144" s="19">
        <f>$B144*'Allergan Payments'!G$24</f>
        <v>4064.2000768533649</v>
      </c>
      <c r="J144" s="19">
        <f>$B144*'Allergan Payments'!H$24</f>
        <v>4064.2000768533649</v>
      </c>
      <c r="K144" s="19">
        <f>$B144*'Allergan Payments'!I$24</f>
        <v>4064.2000768533644</v>
      </c>
      <c r="L144" s="39" t="s">
        <v>346</v>
      </c>
      <c r="M144" s="7">
        <f t="shared" si="10"/>
        <v>28807.780383950576</v>
      </c>
    </row>
    <row r="145" spans="1:13" x14ac:dyDescent="0.35">
      <c r="A145" s="3" t="s">
        <v>14</v>
      </c>
      <c r="B145" s="16">
        <v>3.1145250536960004E-2</v>
      </c>
      <c r="C145" s="8" t="s">
        <v>14</v>
      </c>
      <c r="D145" s="33" t="str">
        <f t="shared" si="9"/>
        <v>No</v>
      </c>
      <c r="E145" s="19">
        <v>135837.09</v>
      </c>
      <c r="F145" s="19">
        <v>135417.39000000001</v>
      </c>
      <c r="G145" s="19">
        <f>$B145*'Allergan Payments'!E$24</f>
        <v>128665.20284992705</v>
      </c>
      <c r="H145" s="19">
        <f>$B145*'Allergan Payments'!F$24</f>
        <v>128665.20284992704</v>
      </c>
      <c r="I145" s="19">
        <f>$B145*'Allergan Payments'!G$24</f>
        <v>128665.20285493297</v>
      </c>
      <c r="J145" s="19">
        <f>$B145*'Allergan Payments'!H$24</f>
        <v>128665.20285493297</v>
      </c>
      <c r="K145" s="19">
        <f>$B145*'Allergan Payments'!I$24</f>
        <v>128665.20285493296</v>
      </c>
      <c r="L145" s="39" t="s">
        <v>346</v>
      </c>
      <c r="M145" s="7">
        <f t="shared" si="10"/>
        <v>914580.49426465307</v>
      </c>
    </row>
    <row r="146" spans="1:13" x14ac:dyDescent="0.35">
      <c r="A146" s="3" t="s">
        <v>14</v>
      </c>
      <c r="B146" s="16">
        <v>8.5048985958722254E-4</v>
      </c>
      <c r="C146" s="8" t="s">
        <v>173</v>
      </c>
      <c r="D146" s="33" t="str">
        <f t="shared" si="9"/>
        <v>No</v>
      </c>
      <c r="E146" s="19">
        <v>3649.08</v>
      </c>
      <c r="F146" s="19">
        <v>3687.71</v>
      </c>
      <c r="G146" s="19">
        <f>$B146*'Allergan Payments'!E$24</f>
        <v>3513.4875597079385</v>
      </c>
      <c r="H146" s="19">
        <f>$B146*'Allergan Payments'!F$24</f>
        <v>3513.4875597079381</v>
      </c>
      <c r="I146" s="19">
        <f>$B146*'Allergan Payments'!G$24</f>
        <v>3513.4875598446361</v>
      </c>
      <c r="J146" s="19">
        <f>$B146*'Allergan Payments'!H$24</f>
        <v>3513.4875598446361</v>
      </c>
      <c r="K146" s="19">
        <f>$B146*'Allergan Payments'!I$24</f>
        <v>3513.4875598446356</v>
      </c>
      <c r="L146" s="39" t="s">
        <v>346</v>
      </c>
      <c r="M146" s="7">
        <f t="shared" si="10"/>
        <v>24904.227798949785</v>
      </c>
    </row>
    <row r="147" spans="1:13" x14ac:dyDescent="0.35">
      <c r="A147" s="3" t="s">
        <v>174</v>
      </c>
      <c r="B147" s="16">
        <v>4.0439910399508605E-5</v>
      </c>
      <c r="C147" s="8" t="s">
        <v>174</v>
      </c>
      <c r="D147" s="33" t="str">
        <f t="shared" si="9"/>
        <v>Yes</v>
      </c>
      <c r="E147" s="19">
        <v>1212.79</v>
      </c>
      <c r="F147" s="19">
        <v>0</v>
      </c>
      <c r="G147" s="52">
        <f>$B147*'Allergan Payments'!E$24</f>
        <v>167.0626880529027</v>
      </c>
      <c r="H147" s="52">
        <f>$B147*'Allergan Payments'!F$24</f>
        <v>167.06268805290267</v>
      </c>
      <c r="I147" s="52">
        <f>$B147*'Allergan Payments'!G$24</f>
        <v>167.06268805940252</v>
      </c>
      <c r="J147" s="52">
        <f>$B147*'Allergan Payments'!H$24</f>
        <v>167.06268805940252</v>
      </c>
      <c r="K147" s="52">
        <f>$B147*'Allergan Payments'!I$24</f>
        <v>167.06268805940252</v>
      </c>
      <c r="L147" s="39" t="s">
        <v>346</v>
      </c>
      <c r="M147" s="7">
        <f>E147</f>
        <v>1212.79</v>
      </c>
    </row>
    <row r="148" spans="1:13" x14ac:dyDescent="0.35">
      <c r="A148" s="3" t="s">
        <v>175</v>
      </c>
      <c r="B148" s="16">
        <v>8.157508475200001E-4</v>
      </c>
      <c r="C148" s="8" t="s">
        <v>175</v>
      </c>
      <c r="D148" s="33" t="str">
        <f t="shared" si="9"/>
        <v>No</v>
      </c>
      <c r="E148" s="19">
        <v>3500.03</v>
      </c>
      <c r="F148" s="19">
        <v>3537.08</v>
      </c>
      <c r="G148" s="19">
        <f>$B148*'Allergan Payments'!E$24</f>
        <v>3369.9760464795877</v>
      </c>
      <c r="H148" s="19">
        <f>$B148*'Allergan Payments'!F$24</f>
        <v>3369.9760464795872</v>
      </c>
      <c r="I148" s="19">
        <f>$B148*'Allergan Payments'!G$24</f>
        <v>3369.9760466107018</v>
      </c>
      <c r="J148" s="19">
        <f>$B148*'Allergan Payments'!H$24</f>
        <v>3369.9760466107018</v>
      </c>
      <c r="K148" s="19">
        <f>$B148*'Allergan Payments'!I$24</f>
        <v>3369.9760466107014</v>
      </c>
      <c r="L148" s="39" t="s">
        <v>346</v>
      </c>
      <c r="M148" s="7">
        <f t="shared" si="10"/>
        <v>23886.990232791282</v>
      </c>
    </row>
    <row r="149" spans="1:13" x14ac:dyDescent="0.35">
      <c r="A149" s="3" t="s">
        <v>176</v>
      </c>
      <c r="B149" s="16">
        <v>5.9449414360000005E-3</v>
      </c>
      <c r="C149" s="8" t="s">
        <v>177</v>
      </c>
      <c r="D149" s="33" t="str">
        <f t="shared" si="9"/>
        <v>No</v>
      </c>
      <c r="E149" s="19">
        <v>25507.15</v>
      </c>
      <c r="F149" s="19">
        <v>25777.18</v>
      </c>
      <c r="G149" s="19">
        <f>$B149*'Allergan Payments'!E$24</f>
        <v>24559.349583210547</v>
      </c>
      <c r="H149" s="19">
        <f>$B149*'Allergan Payments'!F$24</f>
        <v>24559.349583210544</v>
      </c>
      <c r="I149" s="19">
        <f>$B149*'Allergan Payments'!G$24</f>
        <v>24559.349584166066</v>
      </c>
      <c r="J149" s="19">
        <f>$B149*'Allergan Payments'!H$24</f>
        <v>24559.349584166066</v>
      </c>
      <c r="K149" s="19">
        <f>$B149*'Allergan Payments'!I$24</f>
        <v>24559.349584166062</v>
      </c>
      <c r="L149" s="39" t="s">
        <v>346</v>
      </c>
      <c r="M149" s="7">
        <f t="shared" si="10"/>
        <v>174081.07791891927</v>
      </c>
    </row>
    <row r="150" spans="1:13" x14ac:dyDescent="0.35">
      <c r="A150" s="3" t="s">
        <v>178</v>
      </c>
      <c r="B150" s="16">
        <v>4.7307352990073126E-3</v>
      </c>
      <c r="C150" s="8" t="s">
        <v>178</v>
      </c>
      <c r="D150" s="33" t="str">
        <f t="shared" si="9"/>
        <v>No</v>
      </c>
      <c r="E150" s="19">
        <v>20297.52</v>
      </c>
      <c r="F150" s="19">
        <v>20512.400000000001</v>
      </c>
      <c r="G150" s="19">
        <f>$B150*'Allergan Payments'!E$24</f>
        <v>19543.301350354068</v>
      </c>
      <c r="H150" s="19">
        <f>$B150*'Allergan Payments'!F$24</f>
        <v>19543.301350354064</v>
      </c>
      <c r="I150" s="19">
        <f>$B150*'Allergan Payments'!G$24</f>
        <v>19543.301351114431</v>
      </c>
      <c r="J150" s="19">
        <f>$B150*'Allergan Payments'!H$24</f>
        <v>19543.301351114431</v>
      </c>
      <c r="K150" s="19">
        <f>$B150*'Allergan Payments'!I$24</f>
        <v>19543.301351114427</v>
      </c>
      <c r="L150" s="39" t="s">
        <v>346</v>
      </c>
      <c r="M150" s="7">
        <f t="shared" si="10"/>
        <v>138526.42675405144</v>
      </c>
    </row>
    <row r="151" spans="1:13" x14ac:dyDescent="0.35">
      <c r="A151" s="3" t="s">
        <v>179</v>
      </c>
      <c r="B151" s="16">
        <v>1.38586949984E-3</v>
      </c>
      <c r="C151" s="8" t="s">
        <v>179</v>
      </c>
      <c r="D151" s="33" t="str">
        <f t="shared" si="9"/>
        <v>No</v>
      </c>
      <c r="E151" s="19">
        <v>5946.16</v>
      </c>
      <c r="F151" s="19">
        <v>6009.11</v>
      </c>
      <c r="G151" s="19">
        <f>$B151*'Allergan Payments'!E$24</f>
        <v>5725.2125844624907</v>
      </c>
      <c r="H151" s="19">
        <f>$B151*'Allergan Payments'!F$24</f>
        <v>5725.2125844624898</v>
      </c>
      <c r="I151" s="19">
        <f>$B151*'Allergan Payments'!G$24</f>
        <v>5725.2125846852387</v>
      </c>
      <c r="J151" s="19">
        <f>$B151*'Allergan Payments'!H$24</f>
        <v>5725.2125846852387</v>
      </c>
      <c r="K151" s="19">
        <f>$B151*'Allergan Payments'!I$24</f>
        <v>5725.2125846852377</v>
      </c>
      <c r="L151" s="39" t="s">
        <v>346</v>
      </c>
      <c r="M151" s="7">
        <f t="shared" si="10"/>
        <v>40581.332922980691</v>
      </c>
    </row>
    <row r="152" spans="1:13" x14ac:dyDescent="0.35">
      <c r="A152" s="3" t="s">
        <v>16</v>
      </c>
      <c r="B152" s="16">
        <v>8.8237929539200007E-3</v>
      </c>
      <c r="C152" s="8" t="s">
        <v>16</v>
      </c>
      <c r="D152" s="33" t="str">
        <f t="shared" si="9"/>
        <v>No</v>
      </c>
      <c r="E152" s="19">
        <v>37859.050000000003</v>
      </c>
      <c r="F152" s="19">
        <v>38259.839999999997</v>
      </c>
      <c r="G152" s="19">
        <f>$B152*'Allergan Payments'!E$24</f>
        <v>36452.270916061432</v>
      </c>
      <c r="H152" s="19">
        <f>$B152*'Allergan Payments'!F$24</f>
        <v>36452.270916061432</v>
      </c>
      <c r="I152" s="19">
        <f>$B152*'Allergan Payments'!G$24</f>
        <v>36452.270917479669</v>
      </c>
      <c r="J152" s="19">
        <f>$B152*'Allergan Payments'!H$24</f>
        <v>36452.270917479669</v>
      </c>
      <c r="K152" s="19">
        <f>$B152*'Allergan Payments'!I$24</f>
        <v>36452.270917479662</v>
      </c>
      <c r="L152" s="39" t="s">
        <v>346</v>
      </c>
      <c r="M152" s="7">
        <f t="shared" si="10"/>
        <v>258380.24458456185</v>
      </c>
    </row>
    <row r="153" spans="1:13" x14ac:dyDescent="0.35">
      <c r="A153" s="3" t="s">
        <v>75</v>
      </c>
      <c r="B153" s="16">
        <v>6.68759179371164E-5</v>
      </c>
      <c r="C153" s="8" t="s">
        <v>180</v>
      </c>
      <c r="D153" s="8" t="s">
        <v>338</v>
      </c>
      <c r="E153" s="19">
        <v>0</v>
      </c>
      <c r="F153" s="19">
        <v>0</v>
      </c>
      <c r="G153" s="19">
        <v>0</v>
      </c>
      <c r="H153" s="19">
        <v>0</v>
      </c>
      <c r="I153" s="19">
        <v>0</v>
      </c>
      <c r="J153" s="19">
        <v>0</v>
      </c>
      <c r="K153" s="19">
        <v>0</v>
      </c>
      <c r="L153" s="39" t="s">
        <v>346</v>
      </c>
      <c r="M153" s="7">
        <f t="shared" si="10"/>
        <v>0</v>
      </c>
    </row>
    <row r="154" spans="1:13" x14ac:dyDescent="0.35">
      <c r="A154" s="3" t="s">
        <v>55</v>
      </c>
      <c r="B154" s="16">
        <v>5.4332409981697403E-5</v>
      </c>
      <c r="C154" s="8" t="s">
        <v>181</v>
      </c>
      <c r="D154" s="33" t="str">
        <f t="shared" ref="D154:D177" si="11">IF(B154&lt;0.000083,"Yes","No")</f>
        <v>Yes</v>
      </c>
      <c r="E154" s="19">
        <v>1629.43</v>
      </c>
      <c r="F154" s="19">
        <v>0</v>
      </c>
      <c r="G154" s="52">
        <f>$B154*'Allergan Payments'!E$24</f>
        <v>224.45446516234185</v>
      </c>
      <c r="H154" s="52">
        <f>$B154*'Allergan Payments'!F$24</f>
        <v>224.45446516234182</v>
      </c>
      <c r="I154" s="52">
        <f>$B154*'Allergan Payments'!G$24</f>
        <v>224.45446517107459</v>
      </c>
      <c r="J154" s="52">
        <f>$B154*'Allergan Payments'!H$24</f>
        <v>224.45446517107459</v>
      </c>
      <c r="K154" s="52">
        <f>$B154*'Allergan Payments'!I$24</f>
        <v>224.45446517107456</v>
      </c>
      <c r="L154" s="39" t="s">
        <v>346</v>
      </c>
      <c r="M154" s="7">
        <f>E154</f>
        <v>1629.43</v>
      </c>
    </row>
    <row r="155" spans="1:13" x14ac:dyDescent="0.35">
      <c r="A155" s="3" t="s">
        <v>47</v>
      </c>
      <c r="B155" s="16">
        <v>1.0664953412549122E-4</v>
      </c>
      <c r="C155" s="8" t="s">
        <v>182</v>
      </c>
      <c r="D155" s="33" t="str">
        <f t="shared" si="11"/>
        <v>No</v>
      </c>
      <c r="E155" s="19">
        <v>457.59</v>
      </c>
      <c r="F155" s="19">
        <v>462.43</v>
      </c>
      <c r="G155" s="19">
        <f>$B155*'Allergan Payments'!E$24</f>
        <v>440.58351451764941</v>
      </c>
      <c r="H155" s="19">
        <f>$B155*'Allergan Payments'!F$24</f>
        <v>440.58351451764935</v>
      </c>
      <c r="I155" s="19">
        <f>$B155*'Allergan Payments'!G$24</f>
        <v>440.58351453479099</v>
      </c>
      <c r="J155" s="19">
        <f>$B155*'Allergan Payments'!H$24</f>
        <v>440.58351453479099</v>
      </c>
      <c r="K155" s="19">
        <f>$B155*'Allergan Payments'!I$24</f>
        <v>440.58351453479094</v>
      </c>
      <c r="L155" s="39" t="s">
        <v>346</v>
      </c>
      <c r="M155" s="7">
        <f t="shared" si="10"/>
        <v>3122.9375726396715</v>
      </c>
    </row>
    <row r="156" spans="1:13" x14ac:dyDescent="0.35">
      <c r="A156" s="3" t="s">
        <v>22</v>
      </c>
      <c r="B156" s="16">
        <v>9.4938127254031108E-4</v>
      </c>
      <c r="C156" s="8" t="s">
        <v>183</v>
      </c>
      <c r="D156" s="33" t="str">
        <f t="shared" si="11"/>
        <v>No</v>
      </c>
      <c r="E156" s="19">
        <v>4073.38</v>
      </c>
      <c r="F156" s="19">
        <v>4116.5</v>
      </c>
      <c r="G156" s="19">
        <f>$B156*'Allergan Payments'!E$24</f>
        <v>3922.0212362190855</v>
      </c>
      <c r="H156" s="19">
        <f>$B156*'Allergan Payments'!F$24</f>
        <v>3922.021236219085</v>
      </c>
      <c r="I156" s="19">
        <f>$B156*'Allergan Payments'!G$24</f>
        <v>3922.0212363716778</v>
      </c>
      <c r="J156" s="19">
        <f>$B156*'Allergan Payments'!H$24</f>
        <v>3922.0212363716778</v>
      </c>
      <c r="K156" s="19">
        <f>$B156*'Allergan Payments'!I$24</f>
        <v>3922.0212363716773</v>
      </c>
      <c r="L156" s="39" t="s">
        <v>346</v>
      </c>
      <c r="M156" s="7">
        <f t="shared" si="10"/>
        <v>27799.986181553206</v>
      </c>
    </row>
    <row r="157" spans="1:13" x14ac:dyDescent="0.35">
      <c r="A157" s="3" t="s">
        <v>60</v>
      </c>
      <c r="B157" s="16">
        <v>1.4976536817760001E-2</v>
      </c>
      <c r="C157" s="8" t="s">
        <v>60</v>
      </c>
      <c r="D157" s="33" t="str">
        <f t="shared" si="11"/>
        <v>No</v>
      </c>
      <c r="E157" s="19">
        <v>64280.47</v>
      </c>
      <c r="F157" s="19">
        <v>64938.04</v>
      </c>
      <c r="G157" s="19">
        <f>$B157*'Allergan Payments'!E$24</f>
        <v>61870.080170322377</v>
      </c>
      <c r="H157" s="19">
        <f>$B157*'Allergan Payments'!F$24</f>
        <v>61870.08017032237</v>
      </c>
      <c r="I157" s="19">
        <f>$B157*'Allergan Payments'!G$24</f>
        <v>61870.080172729526</v>
      </c>
      <c r="J157" s="19">
        <f>$B157*'Allergan Payments'!H$24</f>
        <v>61870.080172729526</v>
      </c>
      <c r="K157" s="19">
        <f>$B157*'Allergan Payments'!I$24</f>
        <v>61870.080172729518</v>
      </c>
      <c r="L157" s="39" t="s">
        <v>346</v>
      </c>
      <c r="M157" s="7">
        <f t="shared" si="10"/>
        <v>438568.91085883329</v>
      </c>
    </row>
    <row r="158" spans="1:13" x14ac:dyDescent="0.35">
      <c r="A158" s="3" t="s">
        <v>22</v>
      </c>
      <c r="B158" s="16">
        <v>4.4797409664000002E-3</v>
      </c>
      <c r="C158" s="8" t="s">
        <v>184</v>
      </c>
      <c r="D158" s="33" t="str">
        <f t="shared" si="11"/>
        <v>No</v>
      </c>
      <c r="E158" s="19">
        <v>19220.61</v>
      </c>
      <c r="F158" s="19">
        <v>19424.09</v>
      </c>
      <c r="G158" s="19">
        <f>$B158*'Allergan Payments'!E$24</f>
        <v>18506.410133801535</v>
      </c>
      <c r="H158" s="19">
        <f>$B158*'Allergan Payments'!F$24</f>
        <v>18506.410133801532</v>
      </c>
      <c r="I158" s="19">
        <f>$B158*'Allergan Payments'!G$24</f>
        <v>18506.410134521553</v>
      </c>
      <c r="J158" s="19">
        <f>$B158*'Allergan Payments'!H$24</f>
        <v>18506.410134521553</v>
      </c>
      <c r="K158" s="19">
        <f>$B158*'Allergan Payments'!I$24</f>
        <v>18506.410134521553</v>
      </c>
      <c r="L158" s="39" t="s">
        <v>346</v>
      </c>
      <c r="M158" s="7">
        <f t="shared" si="10"/>
        <v>131176.75067116771</v>
      </c>
    </row>
    <row r="159" spans="1:13" x14ac:dyDescent="0.35">
      <c r="A159" s="3" t="s">
        <v>185</v>
      </c>
      <c r="B159" s="16">
        <v>7.1513735216000008E-4</v>
      </c>
      <c r="C159" s="8" t="s">
        <v>185</v>
      </c>
      <c r="D159" s="33" t="str">
        <f t="shared" si="11"/>
        <v>No</v>
      </c>
      <c r="E159" s="19">
        <v>3068.34</v>
      </c>
      <c r="F159" s="19">
        <v>3100.83</v>
      </c>
      <c r="G159" s="19">
        <f>$B159*'Allergan Payments'!E$24</f>
        <v>2954.3282168186174</v>
      </c>
      <c r="H159" s="19">
        <f>$B159*'Allergan Payments'!F$24</f>
        <v>2954.328216818617</v>
      </c>
      <c r="I159" s="19">
        <f>$B159*'Allergan Payments'!G$24</f>
        <v>2954.3282169335598</v>
      </c>
      <c r="J159" s="19">
        <f>$B159*'Allergan Payments'!H$24</f>
        <v>2954.3282169335598</v>
      </c>
      <c r="K159" s="19">
        <f>$B159*'Allergan Payments'!I$24</f>
        <v>2954.3282169335598</v>
      </c>
      <c r="L159" s="39" t="s">
        <v>346</v>
      </c>
      <c r="M159" s="7">
        <f t="shared" si="10"/>
        <v>20940.811084437912</v>
      </c>
    </row>
    <row r="160" spans="1:13" x14ac:dyDescent="0.35">
      <c r="A160" s="3" t="s">
        <v>34</v>
      </c>
      <c r="B160" s="16">
        <v>3.6024341155030474E-5</v>
      </c>
      <c r="C160" s="8" t="s">
        <v>186</v>
      </c>
      <c r="D160" s="33" t="str">
        <f t="shared" si="11"/>
        <v>Yes</v>
      </c>
      <c r="E160" s="19">
        <v>1080.3699999999999</v>
      </c>
      <c r="F160" s="19">
        <v>0</v>
      </c>
      <c r="G160" s="52">
        <f>$B160*'Allergan Payments'!E$24</f>
        <v>148.82137990017233</v>
      </c>
      <c r="H160" s="52">
        <f>$B160*'Allergan Payments'!F$24</f>
        <v>148.82137990017233</v>
      </c>
      <c r="I160" s="52">
        <f>$B160*'Allergan Payments'!G$24</f>
        <v>148.82137990596246</v>
      </c>
      <c r="J160" s="52">
        <f>$B160*'Allergan Payments'!H$24</f>
        <v>148.82137990596246</v>
      </c>
      <c r="K160" s="52">
        <f>$B160*'Allergan Payments'!I$24</f>
        <v>148.82137990596246</v>
      </c>
      <c r="L160" s="39" t="s">
        <v>346</v>
      </c>
      <c r="M160" s="7">
        <f>E160</f>
        <v>1080.3699999999999</v>
      </c>
    </row>
    <row r="161" spans="1:13" x14ac:dyDescent="0.35">
      <c r="A161" s="3" t="s">
        <v>187</v>
      </c>
      <c r="B161" s="16">
        <v>5.4349003265225979E-4</v>
      </c>
      <c r="C161" s="8" t="s">
        <v>187</v>
      </c>
      <c r="D161" s="33" t="str">
        <f t="shared" si="11"/>
        <v>No</v>
      </c>
      <c r="E161" s="19">
        <v>2331.88</v>
      </c>
      <c r="F161" s="19">
        <v>2356.56</v>
      </c>
      <c r="G161" s="19">
        <f>$B161*'Allergan Payments'!E$24</f>
        <v>2245.2301423978843</v>
      </c>
      <c r="H161" s="19">
        <f>$B161*'Allergan Payments'!F$24</f>
        <v>2245.2301423978838</v>
      </c>
      <c r="I161" s="19">
        <f>$B161*'Allergan Payments'!G$24</f>
        <v>2245.230142485238</v>
      </c>
      <c r="J161" s="19">
        <f>$B161*'Allergan Payments'!H$24</f>
        <v>2245.230142485238</v>
      </c>
      <c r="K161" s="19">
        <f>$B161*'Allergan Payments'!I$24</f>
        <v>2245.230142485238</v>
      </c>
      <c r="L161" s="39" t="s">
        <v>346</v>
      </c>
      <c r="M161" s="7">
        <f t="shared" si="10"/>
        <v>15914.590712251482</v>
      </c>
    </row>
    <row r="162" spans="1:13" x14ac:dyDescent="0.35">
      <c r="A162" s="3" t="s">
        <v>75</v>
      </c>
      <c r="B162" s="16">
        <v>8.6511046550880003E-2</v>
      </c>
      <c r="C162" s="8" t="s">
        <v>75</v>
      </c>
      <c r="D162" s="33" t="str">
        <f t="shared" si="11"/>
        <v>No</v>
      </c>
      <c r="E162" s="19">
        <v>373186.77999999997</v>
      </c>
      <c r="F162" s="19">
        <v>375110.63</v>
      </c>
      <c r="G162" s="19">
        <f>$B162*'Allergan Payments'!E$24</f>
        <v>357388.72416580399</v>
      </c>
      <c r="H162" s="19">
        <f>$B162*'Allergan Payments'!F$24</f>
        <v>357388.72416580399</v>
      </c>
      <c r="I162" s="19">
        <f>$B162*'Allergan Payments'!G$24</f>
        <v>357388.72417970875</v>
      </c>
      <c r="J162" s="19">
        <f>$B162*'Allergan Payments'!H$24</f>
        <v>357388.72417970875</v>
      </c>
      <c r="K162" s="19">
        <f>$B162*'Allergan Payments'!I$24</f>
        <v>357388.72417970875</v>
      </c>
      <c r="L162" s="39" t="s">
        <v>346</v>
      </c>
      <c r="M162" s="7">
        <f t="shared" si="10"/>
        <v>2535241.0308707342</v>
      </c>
    </row>
    <row r="163" spans="1:13" x14ac:dyDescent="0.35">
      <c r="A163" s="3" t="s">
        <v>75</v>
      </c>
      <c r="B163" s="16">
        <v>6.4650348945139346E-4</v>
      </c>
      <c r="C163" s="8" t="s">
        <v>188</v>
      </c>
      <c r="D163" s="33" t="str">
        <f t="shared" si="11"/>
        <v>No</v>
      </c>
      <c r="E163" s="19">
        <v>2773.86</v>
      </c>
      <c r="F163" s="19">
        <v>2803.23</v>
      </c>
      <c r="G163" s="19">
        <f>$B163*'Allergan Payments'!E$24</f>
        <v>2670.7925343139145</v>
      </c>
      <c r="H163" s="19">
        <f>$B163*'Allergan Payments'!F$24</f>
        <v>2670.7925343139141</v>
      </c>
      <c r="I163" s="19">
        <f>$B163*'Allergan Payments'!G$24</f>
        <v>2670.7925344178257</v>
      </c>
      <c r="J163" s="19">
        <f>$B163*'Allergan Payments'!H$24</f>
        <v>2670.7925344178257</v>
      </c>
      <c r="K163" s="19">
        <f>$B163*'Allergan Payments'!I$24</f>
        <v>2670.7925344178257</v>
      </c>
      <c r="L163" s="39" t="s">
        <v>346</v>
      </c>
      <c r="M163" s="7">
        <f t="shared" si="10"/>
        <v>18931.052671881305</v>
      </c>
    </row>
    <row r="164" spans="1:13" x14ac:dyDescent="0.35">
      <c r="A164" s="3" t="s">
        <v>34</v>
      </c>
      <c r="B164" s="16">
        <v>8.6236729860592748E-4</v>
      </c>
      <c r="C164" s="8" t="s">
        <v>189</v>
      </c>
      <c r="D164" s="33" t="str">
        <f t="shared" si="11"/>
        <v>No</v>
      </c>
      <c r="E164" s="19">
        <v>3700.04</v>
      </c>
      <c r="F164" s="19">
        <v>3739.21</v>
      </c>
      <c r="G164" s="19">
        <f>$B164*'Allergan Payments'!E$24</f>
        <v>3562.554851649154</v>
      </c>
      <c r="H164" s="19">
        <f>$B164*'Allergan Payments'!F$24</f>
        <v>3562.5548516491535</v>
      </c>
      <c r="I164" s="19">
        <f>$B164*'Allergan Payments'!G$24</f>
        <v>3562.5548517877605</v>
      </c>
      <c r="J164" s="19">
        <f>$B164*'Allergan Payments'!H$24</f>
        <v>3562.5548517877605</v>
      </c>
      <c r="K164" s="19">
        <f>$B164*'Allergan Payments'!I$24</f>
        <v>3562.5548517877601</v>
      </c>
      <c r="L164" s="39" t="s">
        <v>346</v>
      </c>
      <c r="M164" s="7">
        <f t="shared" si="10"/>
        <v>25252.024258661593</v>
      </c>
    </row>
    <row r="165" spans="1:13" x14ac:dyDescent="0.35">
      <c r="A165" s="3" t="s">
        <v>190</v>
      </c>
      <c r="B165" s="16">
        <v>3.4954682537600003E-3</v>
      </c>
      <c r="C165" s="8" t="s">
        <v>190</v>
      </c>
      <c r="D165" s="33" t="str">
        <f t="shared" si="11"/>
        <v>No</v>
      </c>
      <c r="E165" s="19">
        <v>14997.53</v>
      </c>
      <c r="F165" s="19">
        <v>15156.3</v>
      </c>
      <c r="G165" s="19">
        <f>$B165*'Allergan Payments'!E$24</f>
        <v>14440.247683729471</v>
      </c>
      <c r="H165" s="19">
        <f>$B165*'Allergan Payments'!F$24</f>
        <v>14440.247683729469</v>
      </c>
      <c r="I165" s="19">
        <f>$B165*'Allergan Payments'!G$24</f>
        <v>14440.247684291291</v>
      </c>
      <c r="J165" s="19">
        <f>$B165*'Allergan Payments'!H$24</f>
        <v>14440.247684291291</v>
      </c>
      <c r="K165" s="19">
        <f>$B165*'Allergan Payments'!I$24</f>
        <v>14440.247684291289</v>
      </c>
      <c r="L165" s="39" t="s">
        <v>346</v>
      </c>
      <c r="M165" s="7">
        <f t="shared" si="10"/>
        <v>102355.0684203328</v>
      </c>
    </row>
    <row r="166" spans="1:13" x14ac:dyDescent="0.35">
      <c r="A166" s="3" t="s">
        <v>60</v>
      </c>
      <c r="B166" s="16">
        <v>1.1882634073892149E-6</v>
      </c>
      <c r="C166" s="8" t="s">
        <v>191</v>
      </c>
      <c r="D166" s="33" t="str">
        <f t="shared" si="11"/>
        <v>Yes</v>
      </c>
      <c r="E166" s="19">
        <v>35.64</v>
      </c>
      <c r="F166" s="19">
        <v>0</v>
      </c>
      <c r="G166" s="52">
        <f>$B166*'Allergan Payments'!E$24</f>
        <v>4.9088753410234025</v>
      </c>
      <c r="H166" s="52">
        <f>$B166*'Allergan Payments'!F$24</f>
        <v>4.9088753410234016</v>
      </c>
      <c r="I166" s="52">
        <f>$B166*'Allergan Payments'!G$24</f>
        <v>4.9088753412143893</v>
      </c>
      <c r="J166" s="52">
        <f>$B166*'Allergan Payments'!H$24</f>
        <v>4.9088753412143893</v>
      </c>
      <c r="K166" s="52">
        <f>$B166*'Allergan Payments'!I$24</f>
        <v>4.9088753412143893</v>
      </c>
      <c r="L166" s="39" t="s">
        <v>346</v>
      </c>
      <c r="M166" s="7">
        <f>E166</f>
        <v>35.64</v>
      </c>
    </row>
    <row r="167" spans="1:13" x14ac:dyDescent="0.35">
      <c r="A167" s="3" t="s">
        <v>192</v>
      </c>
      <c r="B167" s="16">
        <v>1.8731634511339281E-4</v>
      </c>
      <c r="C167" s="8" t="s">
        <v>193</v>
      </c>
      <c r="D167" s="33" t="str">
        <f t="shared" si="11"/>
        <v>No</v>
      </c>
      <c r="E167" s="19">
        <v>803.69</v>
      </c>
      <c r="F167" s="19">
        <v>812.2</v>
      </c>
      <c r="G167" s="19">
        <f>$B167*'Allergan Payments'!E$24</f>
        <v>773.82891855440073</v>
      </c>
      <c r="H167" s="19">
        <f>$B167*'Allergan Payments'!F$24</f>
        <v>773.82891855440062</v>
      </c>
      <c r="I167" s="19">
        <f>$B167*'Allergan Payments'!G$24</f>
        <v>773.82891858450773</v>
      </c>
      <c r="J167" s="19">
        <f>$B167*'Allergan Payments'!H$24</f>
        <v>773.82891858450773</v>
      </c>
      <c r="K167" s="19">
        <f>$B167*'Allergan Payments'!I$24</f>
        <v>773.82891858450762</v>
      </c>
      <c r="L167" s="39" t="s">
        <v>346</v>
      </c>
      <c r="M167" s="7">
        <f t="shared" si="10"/>
        <v>5485.0345928623246</v>
      </c>
    </row>
    <row r="168" spans="1:13" x14ac:dyDescent="0.35">
      <c r="A168" s="3" t="s">
        <v>192</v>
      </c>
      <c r="B168" s="16">
        <v>6.0352741926400005E-3</v>
      </c>
      <c r="C168" s="8" t="s">
        <v>192</v>
      </c>
      <c r="D168" s="33" t="str">
        <f t="shared" si="11"/>
        <v>No</v>
      </c>
      <c r="E168" s="19">
        <v>25894.73</v>
      </c>
      <c r="F168" s="19">
        <v>26168.86</v>
      </c>
      <c r="G168" s="19">
        <f>$B168*'Allergan Payments'!E$24</f>
        <v>24932.526303792263</v>
      </c>
      <c r="H168" s="19">
        <f>$B168*'Allergan Payments'!F$24</f>
        <v>24932.52630379226</v>
      </c>
      <c r="I168" s="19">
        <f>$B168*'Allergan Payments'!G$24</f>
        <v>24932.526304762301</v>
      </c>
      <c r="J168" s="19">
        <f>$B168*'Allergan Payments'!H$24</f>
        <v>24932.526304762301</v>
      </c>
      <c r="K168" s="19">
        <f>$B168*'Allergan Payments'!I$24</f>
        <v>24932.526304762298</v>
      </c>
      <c r="L168" s="39" t="s">
        <v>346</v>
      </c>
      <c r="M168" s="7">
        <f t="shared" si="10"/>
        <v>176726.2215218714</v>
      </c>
    </row>
    <row r="169" spans="1:13" x14ac:dyDescent="0.35">
      <c r="A169" s="3" t="s">
        <v>194</v>
      </c>
      <c r="B169" s="16">
        <v>2.7857703115200002E-3</v>
      </c>
      <c r="C169" s="8" t="s">
        <v>194</v>
      </c>
      <c r="D169" s="33" t="str">
        <f t="shared" si="11"/>
        <v>No</v>
      </c>
      <c r="E169" s="19">
        <v>11952.53</v>
      </c>
      <c r="F169" s="19">
        <v>12079.06</v>
      </c>
      <c r="G169" s="19">
        <f>$B169*'Allergan Payments'!E$24</f>
        <v>11508.390398069689</v>
      </c>
      <c r="H169" s="19">
        <f>$B169*'Allergan Payments'!F$24</f>
        <v>11508.390398069687</v>
      </c>
      <c r="I169" s="19">
        <f>$B169*'Allergan Payments'!G$24</f>
        <v>11508.39039851744</v>
      </c>
      <c r="J169" s="19">
        <f>$B169*'Allergan Payments'!H$24</f>
        <v>11508.39039851744</v>
      </c>
      <c r="K169" s="19">
        <f>$B169*'Allergan Payments'!I$24</f>
        <v>11508.390398517438</v>
      </c>
      <c r="L169" s="39" t="s">
        <v>346</v>
      </c>
      <c r="M169" s="7">
        <f t="shared" si="10"/>
        <v>81573.541991691702</v>
      </c>
    </row>
    <row r="170" spans="1:13" x14ac:dyDescent="0.35">
      <c r="A170" s="3" t="s">
        <v>52</v>
      </c>
      <c r="B170" s="16">
        <v>1.9846587479771158E-3</v>
      </c>
      <c r="C170" s="8" t="s">
        <v>52</v>
      </c>
      <c r="D170" s="33" t="str">
        <f t="shared" si="11"/>
        <v>No</v>
      </c>
      <c r="E170" s="19">
        <v>8515.31</v>
      </c>
      <c r="F170" s="19">
        <v>8605.4500000000007</v>
      </c>
      <c r="G170" s="19">
        <f>$B170*'Allergan Payments'!E$24</f>
        <v>8198.891195090142</v>
      </c>
      <c r="H170" s="19">
        <f>$B170*'Allergan Payments'!F$24</f>
        <v>8198.8911950901402</v>
      </c>
      <c r="I170" s="19">
        <f>$B170*'Allergan Payments'!G$24</f>
        <v>8198.8911954091309</v>
      </c>
      <c r="J170" s="19">
        <f>$B170*'Allergan Payments'!H$24</f>
        <v>8198.8911954091309</v>
      </c>
      <c r="K170" s="19">
        <f>$B170*'Allergan Payments'!I$24</f>
        <v>8198.8911954091309</v>
      </c>
      <c r="L170" s="39" t="s">
        <v>346</v>
      </c>
      <c r="M170" s="7">
        <f t="shared" si="10"/>
        <v>58115.215976407679</v>
      </c>
    </row>
    <row r="171" spans="1:13" x14ac:dyDescent="0.35">
      <c r="A171" s="3" t="s">
        <v>22</v>
      </c>
      <c r="B171" s="16">
        <v>3.1054294121660652E-4</v>
      </c>
      <c r="C171" s="8" t="s">
        <v>195</v>
      </c>
      <c r="D171" s="33" t="str">
        <f t="shared" si="11"/>
        <v>No</v>
      </c>
      <c r="E171" s="19">
        <v>1332.4</v>
      </c>
      <c r="F171" s="19">
        <v>1346.51</v>
      </c>
      <c r="G171" s="19">
        <f>$B171*'Allergan Payments'!E$24</f>
        <v>1282.8944971186495</v>
      </c>
      <c r="H171" s="19">
        <f>$B171*'Allergan Payments'!F$24</f>
        <v>1282.8944971186493</v>
      </c>
      <c r="I171" s="19">
        <f>$B171*'Allergan Payments'!G$24</f>
        <v>1282.8944971685623</v>
      </c>
      <c r="J171" s="19">
        <f>$B171*'Allergan Payments'!H$24</f>
        <v>1282.8944971685623</v>
      </c>
      <c r="K171" s="19">
        <f>$B171*'Allergan Payments'!I$24</f>
        <v>1282.8944971685623</v>
      </c>
      <c r="L171" s="39" t="s">
        <v>346</v>
      </c>
      <c r="M171" s="7">
        <f t="shared" si="10"/>
        <v>9093.3824857429863</v>
      </c>
    </row>
    <row r="172" spans="1:13" x14ac:dyDescent="0.35">
      <c r="A172" s="3" t="s">
        <v>196</v>
      </c>
      <c r="B172" s="16">
        <v>9.4422835263283285E-4</v>
      </c>
      <c r="C172" s="8" t="s">
        <v>196</v>
      </c>
      <c r="D172" s="33" t="str">
        <f t="shared" si="11"/>
        <v>No</v>
      </c>
      <c r="E172" s="19">
        <v>4051.27</v>
      </c>
      <c r="F172" s="19">
        <v>4094.16</v>
      </c>
      <c r="G172" s="19">
        <f>$B172*'Allergan Payments'!E$24</f>
        <v>3900.7338336862872</v>
      </c>
      <c r="H172" s="19">
        <f>$B172*'Allergan Payments'!F$24</f>
        <v>3900.7338336862867</v>
      </c>
      <c r="I172" s="19">
        <f>$B172*'Allergan Payments'!G$24</f>
        <v>3900.7338338380514</v>
      </c>
      <c r="J172" s="19">
        <f>$B172*'Allergan Payments'!H$24</f>
        <v>3900.7338338380514</v>
      </c>
      <c r="K172" s="19">
        <f>$B172*'Allergan Payments'!I$24</f>
        <v>3900.7338338380509</v>
      </c>
      <c r="L172" s="39" t="s">
        <v>346</v>
      </c>
      <c r="M172" s="7">
        <f t="shared" si="10"/>
        <v>27649.099168886725</v>
      </c>
    </row>
    <row r="173" spans="1:13" x14ac:dyDescent="0.35">
      <c r="A173" s="3" t="s">
        <v>90</v>
      </c>
      <c r="B173" s="16">
        <v>4.2307814899981359E-4</v>
      </c>
      <c r="C173" s="8" t="s">
        <v>197</v>
      </c>
      <c r="D173" s="33" t="str">
        <f t="shared" si="11"/>
        <v>No</v>
      </c>
      <c r="E173" s="19">
        <v>1815.24</v>
      </c>
      <c r="F173" s="19">
        <v>1834.46</v>
      </c>
      <c r="G173" s="19">
        <f>$B173*'Allergan Payments'!E$24</f>
        <v>1747.7925180866425</v>
      </c>
      <c r="H173" s="19">
        <f>$B173*'Allergan Payments'!F$24</f>
        <v>1747.7925180866423</v>
      </c>
      <c r="I173" s="19">
        <f>$B173*'Allergan Payments'!G$24</f>
        <v>1747.7925181546429</v>
      </c>
      <c r="J173" s="19">
        <f>$B173*'Allergan Payments'!H$24</f>
        <v>1747.7925181546429</v>
      </c>
      <c r="K173" s="19">
        <f>$B173*'Allergan Payments'!I$24</f>
        <v>1747.7925181546429</v>
      </c>
      <c r="L173" s="39" t="s">
        <v>346</v>
      </c>
      <c r="M173" s="7">
        <f t="shared" si="10"/>
        <v>12388.662590637214</v>
      </c>
    </row>
    <row r="174" spans="1:13" x14ac:dyDescent="0.35">
      <c r="A174" s="3" t="s">
        <v>198</v>
      </c>
      <c r="B174" s="16">
        <v>1.8064208801171536E-3</v>
      </c>
      <c r="C174" s="8" t="s">
        <v>199</v>
      </c>
      <c r="D174" s="33" t="str">
        <f t="shared" si="11"/>
        <v>No</v>
      </c>
      <c r="E174" s="19">
        <v>7750.56</v>
      </c>
      <c r="F174" s="19">
        <v>7832.61</v>
      </c>
      <c r="G174" s="19">
        <f>$B174*'Allergan Payments'!E$24</f>
        <v>7462.5666824160189</v>
      </c>
      <c r="H174" s="19">
        <f>$B174*'Allergan Payments'!F$24</f>
        <v>7462.566682416018</v>
      </c>
      <c r="I174" s="19">
        <f>$B174*'Allergan Payments'!G$24</f>
        <v>7462.5666827063615</v>
      </c>
      <c r="J174" s="19">
        <f>$B174*'Allergan Payments'!H$24</f>
        <v>7462.5666827063615</v>
      </c>
      <c r="K174" s="19">
        <f>$B174*'Allergan Payments'!I$24</f>
        <v>7462.5666827063606</v>
      </c>
      <c r="L174" s="39" t="s">
        <v>346</v>
      </c>
      <c r="M174" s="7">
        <f t="shared" si="10"/>
        <v>52896.003412951119</v>
      </c>
    </row>
    <row r="175" spans="1:13" x14ac:dyDescent="0.35">
      <c r="A175" s="3" t="s">
        <v>200</v>
      </c>
      <c r="B175" s="16">
        <v>3.2176018624034916E-3</v>
      </c>
      <c r="C175" s="8" t="s">
        <v>200</v>
      </c>
      <c r="D175" s="33" t="str">
        <f t="shared" si="11"/>
        <v>No</v>
      </c>
      <c r="E175" s="19">
        <v>13805.33</v>
      </c>
      <c r="F175" s="19">
        <v>13951.47</v>
      </c>
      <c r="G175" s="19">
        <f>$B175*'Allergan Payments'!E$24</f>
        <v>13292.344392130133</v>
      </c>
      <c r="H175" s="19">
        <f>$B175*'Allergan Payments'!F$24</f>
        <v>13292.344392130131</v>
      </c>
      <c r="I175" s="19">
        <f>$B175*'Allergan Payments'!G$24</f>
        <v>13292.344392647292</v>
      </c>
      <c r="J175" s="19">
        <f>$B175*'Allergan Payments'!H$24</f>
        <v>13292.344392647292</v>
      </c>
      <c r="K175" s="19">
        <f>$B175*'Allergan Payments'!I$24</f>
        <v>13292.34439264729</v>
      </c>
      <c r="L175" s="39" t="s">
        <v>346</v>
      </c>
      <c r="M175" s="7">
        <f t="shared" si="10"/>
        <v>94218.521962202154</v>
      </c>
    </row>
    <row r="176" spans="1:13" x14ac:dyDescent="0.35">
      <c r="A176" s="3" t="s">
        <v>34</v>
      </c>
      <c r="B176" s="16">
        <v>3.840748936462473E-5</v>
      </c>
      <c r="C176" s="8" t="s">
        <v>201</v>
      </c>
      <c r="D176" s="33" t="str">
        <f t="shared" si="11"/>
        <v>Yes</v>
      </c>
      <c r="E176" s="19">
        <v>1151.8399999999999</v>
      </c>
      <c r="F176" s="19">
        <v>0</v>
      </c>
      <c r="G176" s="52">
        <f>$B176*'Allergan Payments'!E$24</f>
        <v>158.66648445134655</v>
      </c>
      <c r="H176" s="52">
        <f>$B176*'Allergan Payments'!F$24</f>
        <v>158.66648445134652</v>
      </c>
      <c r="I176" s="52">
        <f>$B176*'Allergan Payments'!G$24</f>
        <v>158.66648445751972</v>
      </c>
      <c r="J176" s="52">
        <f>$B176*'Allergan Payments'!H$24</f>
        <v>158.66648445751972</v>
      </c>
      <c r="K176" s="52">
        <f>$B176*'Allergan Payments'!I$24</f>
        <v>158.66648445751969</v>
      </c>
      <c r="L176" s="39" t="s">
        <v>346</v>
      </c>
      <c r="M176" s="7">
        <f>E176</f>
        <v>1151.8399999999999</v>
      </c>
    </row>
    <row r="177" spans="1:13" x14ac:dyDescent="0.35">
      <c r="A177" s="3" t="s">
        <v>202</v>
      </c>
      <c r="B177" s="16">
        <v>5.9922724256234404E-4</v>
      </c>
      <c r="C177" s="8" t="s">
        <v>202</v>
      </c>
      <c r="D177" s="33" t="str">
        <f t="shared" si="11"/>
        <v>No</v>
      </c>
      <c r="E177" s="19">
        <v>2571.02</v>
      </c>
      <c r="F177" s="19">
        <v>2598.2399999999998</v>
      </c>
      <c r="G177" s="19">
        <f>$B177*'Allergan Payments'!E$24</f>
        <v>2475.4880242813392</v>
      </c>
      <c r="H177" s="19">
        <f>$B177*'Allergan Payments'!F$24</f>
        <v>2475.4880242813388</v>
      </c>
      <c r="I177" s="19">
        <f>$B177*'Allergan Payments'!G$24</f>
        <v>2475.488024377652</v>
      </c>
      <c r="J177" s="19">
        <f>$B177*'Allergan Payments'!H$24</f>
        <v>2475.488024377652</v>
      </c>
      <c r="K177" s="19">
        <f>$B177*'Allergan Payments'!I$24</f>
        <v>2475.4880243776515</v>
      </c>
      <c r="L177" s="39" t="s">
        <v>346</v>
      </c>
      <c r="M177" s="7">
        <f t="shared" si="10"/>
        <v>17546.700121695634</v>
      </c>
    </row>
    <row r="178" spans="1:13" x14ac:dyDescent="0.35">
      <c r="A178" s="3" t="s">
        <v>36</v>
      </c>
      <c r="B178" s="16">
        <v>2.6396387324336113E-5</v>
      </c>
      <c r="C178" s="8" t="s">
        <v>203</v>
      </c>
      <c r="D178" s="8" t="s">
        <v>338</v>
      </c>
      <c r="E178" s="19">
        <v>0</v>
      </c>
      <c r="F178" s="19">
        <v>0</v>
      </c>
      <c r="G178" s="19">
        <v>0</v>
      </c>
      <c r="H178" s="19">
        <v>0</v>
      </c>
      <c r="I178" s="19">
        <v>0</v>
      </c>
      <c r="J178" s="19">
        <v>0</v>
      </c>
      <c r="K178" s="19">
        <v>0</v>
      </c>
      <c r="L178" s="39" t="s">
        <v>346</v>
      </c>
      <c r="M178" s="7">
        <f t="shared" si="10"/>
        <v>0</v>
      </c>
    </row>
    <row r="179" spans="1:13" x14ac:dyDescent="0.35">
      <c r="A179" s="3" t="s">
        <v>45</v>
      </c>
      <c r="B179" s="16">
        <v>7.1543601524750355E-5</v>
      </c>
      <c r="C179" s="8" t="s">
        <v>204</v>
      </c>
      <c r="D179" s="33" t="str">
        <f t="shared" ref="D179:D242" si="12">IF(B179&lt;0.000083,"Yes","No")</f>
        <v>Yes</v>
      </c>
      <c r="E179" s="19">
        <v>2145.59</v>
      </c>
      <c r="F179" s="19">
        <v>0</v>
      </c>
      <c r="G179" s="52">
        <f>$B179*'Allergan Payments'!E$24</f>
        <v>295.55620340483682</v>
      </c>
      <c r="H179" s="52">
        <f>$B179*'Allergan Payments'!F$24</f>
        <v>295.55620340483682</v>
      </c>
      <c r="I179" s="52">
        <f>$B179*'Allergan Payments'!G$24</f>
        <v>295.5562034163359</v>
      </c>
      <c r="J179" s="52">
        <f>$B179*'Allergan Payments'!H$24</f>
        <v>295.5562034163359</v>
      </c>
      <c r="K179" s="52">
        <f>$B179*'Allergan Payments'!I$24</f>
        <v>295.5562034163359</v>
      </c>
      <c r="L179" s="39" t="s">
        <v>346</v>
      </c>
      <c r="M179" s="7">
        <f>E179</f>
        <v>2145.59</v>
      </c>
    </row>
    <row r="180" spans="1:13" x14ac:dyDescent="0.35">
      <c r="A180" s="3" t="s">
        <v>45</v>
      </c>
      <c r="B180" s="16">
        <v>1.256002277532938E-3</v>
      </c>
      <c r="C180" s="8" t="s">
        <v>205</v>
      </c>
      <c r="D180" s="33" t="str">
        <f t="shared" si="12"/>
        <v>No</v>
      </c>
      <c r="E180" s="19">
        <v>5388.96</v>
      </c>
      <c r="F180" s="19">
        <v>5446.01</v>
      </c>
      <c r="G180" s="19">
        <f>$B180*'Allergan Payments'!E$24</f>
        <v>5188.7136893302868</v>
      </c>
      <c r="H180" s="19">
        <f>$B180*'Allergan Payments'!F$24</f>
        <v>5188.7136893302868</v>
      </c>
      <c r="I180" s="19">
        <f>$B180*'Allergan Payments'!G$24</f>
        <v>5188.7136895321619</v>
      </c>
      <c r="J180" s="19">
        <f>$B180*'Allergan Payments'!H$24</f>
        <v>5188.7136895321619</v>
      </c>
      <c r="K180" s="19">
        <f>$B180*'Allergan Payments'!I$24</f>
        <v>5188.7136895321619</v>
      </c>
      <c r="L180" s="39" t="s">
        <v>346</v>
      </c>
      <c r="M180" s="7">
        <f t="shared" si="10"/>
        <v>36778.538447257059</v>
      </c>
    </row>
    <row r="181" spans="1:13" x14ac:dyDescent="0.35">
      <c r="A181" s="3" t="s">
        <v>45</v>
      </c>
      <c r="B181" s="16">
        <v>1.7154393930240004E-2</v>
      </c>
      <c r="C181" s="8" t="s">
        <v>45</v>
      </c>
      <c r="D181" s="33" t="str">
        <f t="shared" si="12"/>
        <v>No</v>
      </c>
      <c r="E181" s="19">
        <v>73602.02</v>
      </c>
      <c r="F181" s="19">
        <v>74381.2</v>
      </c>
      <c r="G181" s="19">
        <f>$B181*'Allergan Payments'!E$24</f>
        <v>70867.09969414564</v>
      </c>
      <c r="H181" s="19">
        <f>$B181*'Allergan Payments'!F$24</f>
        <v>70867.099694145625</v>
      </c>
      <c r="I181" s="19">
        <f>$B181*'Allergan Payments'!G$24</f>
        <v>70867.099696902835</v>
      </c>
      <c r="J181" s="19">
        <f>$B181*'Allergan Payments'!H$24</f>
        <v>70867.099696902835</v>
      </c>
      <c r="K181" s="19">
        <f>$B181*'Allergan Payments'!I$24</f>
        <v>70867.09969690282</v>
      </c>
      <c r="L181" s="39" t="s">
        <v>346</v>
      </c>
      <c r="M181" s="7">
        <f t="shared" si="10"/>
        <v>502318.7184789998</v>
      </c>
    </row>
    <row r="182" spans="1:13" x14ac:dyDescent="0.35">
      <c r="A182" s="3" t="s">
        <v>206</v>
      </c>
      <c r="B182" s="16">
        <v>6.9578341280000008E-3</v>
      </c>
      <c r="C182" s="8" t="s">
        <v>206</v>
      </c>
      <c r="D182" s="33" t="str">
        <f t="shared" si="12"/>
        <v>No</v>
      </c>
      <c r="E182" s="19">
        <v>29853.03</v>
      </c>
      <c r="F182" s="19">
        <v>30169.07</v>
      </c>
      <c r="G182" s="19">
        <f>$B182*'Allergan Payments'!E$24</f>
        <v>28743.745002561354</v>
      </c>
      <c r="H182" s="19">
        <f>$B182*'Allergan Payments'!F$24</f>
        <v>28743.745002561351</v>
      </c>
      <c r="I182" s="19">
        <f>$B182*'Allergan Payments'!G$24</f>
        <v>28743.745003679673</v>
      </c>
      <c r="J182" s="19">
        <f>$B182*'Allergan Payments'!H$24</f>
        <v>28743.745003679673</v>
      </c>
      <c r="K182" s="19">
        <f>$B182*'Allergan Payments'!I$24</f>
        <v>28743.745003679669</v>
      </c>
      <c r="L182" s="39" t="s">
        <v>346</v>
      </c>
      <c r="M182" s="7">
        <f t="shared" si="10"/>
        <v>203740.82501616175</v>
      </c>
    </row>
    <row r="183" spans="1:13" x14ac:dyDescent="0.35">
      <c r="A183" s="3" t="s">
        <v>207</v>
      </c>
      <c r="B183" s="16">
        <v>9.8584816064000011E-4</v>
      </c>
      <c r="C183" s="8" t="s">
        <v>207</v>
      </c>
      <c r="D183" s="33" t="str">
        <f t="shared" si="12"/>
        <v>No</v>
      </c>
      <c r="E183" s="19">
        <v>4229.84</v>
      </c>
      <c r="F183" s="19">
        <v>4274.62</v>
      </c>
      <c r="G183" s="19">
        <f>$B183*'Allergan Payments'!E$24</f>
        <v>4072.6708368406657</v>
      </c>
      <c r="H183" s="19">
        <f>$B183*'Allergan Payments'!F$24</f>
        <v>4072.6708368406653</v>
      </c>
      <c r="I183" s="19">
        <f>$B183*'Allergan Payments'!G$24</f>
        <v>4072.6708369991193</v>
      </c>
      <c r="J183" s="19">
        <f>$B183*'Allergan Payments'!H$24</f>
        <v>4072.6708369991193</v>
      </c>
      <c r="K183" s="19">
        <f>$B183*'Allergan Payments'!I$24</f>
        <v>4072.6708369991188</v>
      </c>
      <c r="L183" s="39" t="s">
        <v>346</v>
      </c>
      <c r="M183" s="7">
        <f t="shared" si="10"/>
        <v>28867.814184678682</v>
      </c>
    </row>
    <row r="184" spans="1:13" x14ac:dyDescent="0.35">
      <c r="A184" s="3" t="s">
        <v>75</v>
      </c>
      <c r="B184" s="16">
        <v>3.0056747918547061E-4</v>
      </c>
      <c r="C184" s="8" t="s">
        <v>208</v>
      </c>
      <c r="D184" s="33" t="str">
        <f t="shared" si="12"/>
        <v>No</v>
      </c>
      <c r="E184" s="19">
        <v>1289.5999999999999</v>
      </c>
      <c r="F184" s="19">
        <v>1303.26</v>
      </c>
      <c r="G184" s="19">
        <f>$B184*'Allergan Payments'!E$24</f>
        <v>1241.6845269424671</v>
      </c>
      <c r="H184" s="19">
        <f>$B184*'Allergan Payments'!F$24</f>
        <v>1241.6845269424671</v>
      </c>
      <c r="I184" s="19">
        <f>$B184*'Allergan Payments'!G$24</f>
        <v>1241.6845269907769</v>
      </c>
      <c r="J184" s="19">
        <f>$B184*'Allergan Payments'!H$24</f>
        <v>1241.6845269907769</v>
      </c>
      <c r="K184" s="19">
        <f>$B184*'Allergan Payments'!I$24</f>
        <v>1241.6845269907767</v>
      </c>
      <c r="L184" s="39" t="s">
        <v>346</v>
      </c>
      <c r="M184" s="7">
        <f t="shared" si="10"/>
        <v>8801.2826348572653</v>
      </c>
    </row>
    <row r="185" spans="1:13" x14ac:dyDescent="0.35">
      <c r="A185" s="3" t="s">
        <v>63</v>
      </c>
      <c r="B185" s="16">
        <v>1.4878159422548442E-4</v>
      </c>
      <c r="C185" s="8" t="s">
        <v>209</v>
      </c>
      <c r="D185" s="33" t="str">
        <f t="shared" si="12"/>
        <v>No</v>
      </c>
      <c r="E185" s="19">
        <v>638.36</v>
      </c>
      <c r="F185" s="19">
        <v>645.11</v>
      </c>
      <c r="G185" s="19">
        <f>$B185*'Allergan Payments'!E$24</f>
        <v>614.63669969970272</v>
      </c>
      <c r="H185" s="19">
        <f>$B185*'Allergan Payments'!F$24</f>
        <v>614.6366996997026</v>
      </c>
      <c r="I185" s="19">
        <f>$B185*'Allergan Payments'!G$24</f>
        <v>614.63669972361606</v>
      </c>
      <c r="J185" s="19">
        <f>$B185*'Allergan Payments'!H$24</f>
        <v>614.63669972361606</v>
      </c>
      <c r="K185" s="19">
        <f>$B185*'Allergan Payments'!I$24</f>
        <v>614.63669972361595</v>
      </c>
      <c r="L185" s="39" t="s">
        <v>346</v>
      </c>
      <c r="M185" s="7">
        <f t="shared" si="10"/>
        <v>4356.6534985702529</v>
      </c>
    </row>
    <row r="186" spans="1:13" x14ac:dyDescent="0.35">
      <c r="A186" s="3" t="s">
        <v>168</v>
      </c>
      <c r="B186" s="16">
        <v>2.1378856446827648E-4</v>
      </c>
      <c r="C186" s="8" t="s">
        <v>210</v>
      </c>
      <c r="D186" s="33" t="str">
        <f t="shared" si="12"/>
        <v>No</v>
      </c>
      <c r="E186" s="19">
        <v>917.27</v>
      </c>
      <c r="F186" s="19">
        <v>926.98</v>
      </c>
      <c r="G186" s="19">
        <f>$B186*'Allergan Payments'!E$24</f>
        <v>883.18920349228927</v>
      </c>
      <c r="H186" s="19">
        <f>$B186*'Allergan Payments'!F$24</f>
        <v>883.18920349228915</v>
      </c>
      <c r="I186" s="19">
        <f>$B186*'Allergan Payments'!G$24</f>
        <v>883.18920352665111</v>
      </c>
      <c r="J186" s="19">
        <f>$B186*'Allergan Payments'!H$24</f>
        <v>883.18920352665111</v>
      </c>
      <c r="K186" s="19">
        <f>$B186*'Allergan Payments'!I$24</f>
        <v>883.189203526651</v>
      </c>
      <c r="L186" s="39" t="s">
        <v>346</v>
      </c>
      <c r="M186" s="7">
        <f t="shared" si="10"/>
        <v>6260.1960175645318</v>
      </c>
    </row>
    <row r="187" spans="1:13" x14ac:dyDescent="0.35">
      <c r="A187" s="3" t="s">
        <v>63</v>
      </c>
      <c r="B187" s="16">
        <v>9.0106553717547258E-5</v>
      </c>
      <c r="C187" s="8" t="s">
        <v>211</v>
      </c>
      <c r="D187" s="33" t="str">
        <f t="shared" si="12"/>
        <v>No</v>
      </c>
      <c r="E187" s="19">
        <v>386.61</v>
      </c>
      <c r="F187" s="19">
        <v>390.7</v>
      </c>
      <c r="G187" s="19">
        <f>$B187*'Allergan Payments'!E$24</f>
        <v>372.24224600209885</v>
      </c>
      <c r="H187" s="19">
        <f>$B187*'Allergan Payments'!F$24</f>
        <v>372.2422460020988</v>
      </c>
      <c r="I187" s="19">
        <f>$B187*'Allergan Payments'!G$24</f>
        <v>372.24224601658148</v>
      </c>
      <c r="J187" s="19">
        <f>$B187*'Allergan Payments'!H$24</f>
        <v>372.24224601658148</v>
      </c>
      <c r="K187" s="19">
        <f>$B187*'Allergan Payments'!I$24</f>
        <v>372.24224601658148</v>
      </c>
      <c r="L187" s="39" t="s">
        <v>346</v>
      </c>
      <c r="M187" s="7">
        <f t="shared" si="10"/>
        <v>2638.5212300539424</v>
      </c>
    </row>
    <row r="188" spans="1:13" x14ac:dyDescent="0.35">
      <c r="A188" s="3" t="s">
        <v>105</v>
      </c>
      <c r="B188" s="16">
        <v>2.1563493333176328E-4</v>
      </c>
      <c r="C188" s="8" t="s">
        <v>212</v>
      </c>
      <c r="D188" s="33" t="str">
        <f t="shared" si="12"/>
        <v>No</v>
      </c>
      <c r="E188" s="19">
        <v>925.2</v>
      </c>
      <c r="F188" s="19">
        <v>934.99</v>
      </c>
      <c r="G188" s="19">
        <f>$B188*'Allergan Payments'!E$24</f>
        <v>890.81680064628881</v>
      </c>
      <c r="H188" s="19">
        <f>$B188*'Allergan Payments'!F$24</f>
        <v>890.8168006462887</v>
      </c>
      <c r="I188" s="19">
        <f>$B188*'Allergan Payments'!G$24</f>
        <v>890.81680068094738</v>
      </c>
      <c r="J188" s="19">
        <f>$B188*'Allergan Payments'!H$24</f>
        <v>890.81680068094738</v>
      </c>
      <c r="K188" s="19">
        <f>$B188*'Allergan Payments'!I$24</f>
        <v>890.81680068094727</v>
      </c>
      <c r="L188" s="39" t="s">
        <v>346</v>
      </c>
      <c r="M188" s="7">
        <f t="shared" si="10"/>
        <v>6314.2740033354203</v>
      </c>
    </row>
    <row r="189" spans="1:13" x14ac:dyDescent="0.35">
      <c r="A189" s="3" t="s">
        <v>105</v>
      </c>
      <c r="B189" s="16">
        <v>1.0446192327570199E-3</v>
      </c>
      <c r="C189" s="8" t="s">
        <v>213</v>
      </c>
      <c r="D189" s="33" t="str">
        <f t="shared" si="12"/>
        <v>No</v>
      </c>
      <c r="E189" s="19">
        <v>4482.01</v>
      </c>
      <c r="F189" s="19">
        <v>4529.45</v>
      </c>
      <c r="G189" s="19">
        <f>$B189*'Allergan Payments'!E$24</f>
        <v>4315.4620099818312</v>
      </c>
      <c r="H189" s="19">
        <f>$B189*'Allergan Payments'!F$24</f>
        <v>4315.4620099818312</v>
      </c>
      <c r="I189" s="19">
        <f>$B189*'Allergan Payments'!G$24</f>
        <v>4315.4620101497312</v>
      </c>
      <c r="J189" s="19">
        <f>$B189*'Allergan Payments'!H$24</f>
        <v>4315.4620101497312</v>
      </c>
      <c r="K189" s="19">
        <f>$B189*'Allergan Payments'!I$24</f>
        <v>4315.4620101497303</v>
      </c>
      <c r="L189" s="39" t="s">
        <v>346</v>
      </c>
      <c r="M189" s="7">
        <f t="shared" si="10"/>
        <v>30588.770050412855</v>
      </c>
    </row>
    <row r="190" spans="1:13" x14ac:dyDescent="0.35">
      <c r="A190" s="3" t="s">
        <v>105</v>
      </c>
      <c r="B190" s="16">
        <v>1.9100374032320001E-2</v>
      </c>
      <c r="C190" s="8" t="s">
        <v>105</v>
      </c>
      <c r="D190" s="33" t="str">
        <f t="shared" si="12"/>
        <v>No</v>
      </c>
      <c r="E190" s="19">
        <v>81951.37</v>
      </c>
      <c r="F190" s="19">
        <v>82818.94</v>
      </c>
      <c r="G190" s="19">
        <f>$B190*'Allergan Payments'!E$24</f>
        <v>78906.204220818792</v>
      </c>
      <c r="H190" s="19">
        <f>$B190*'Allergan Payments'!F$24</f>
        <v>78906.204220818778</v>
      </c>
      <c r="I190" s="19">
        <f>$B190*'Allergan Payments'!G$24</f>
        <v>78906.204223888752</v>
      </c>
      <c r="J190" s="19">
        <f>$B190*'Allergan Payments'!H$24</f>
        <v>78906.204223888752</v>
      </c>
      <c r="K190" s="19">
        <f>$B190*'Allergan Payments'!I$24</f>
        <v>78906.204223888752</v>
      </c>
      <c r="L190" s="39" t="s">
        <v>346</v>
      </c>
      <c r="M190" s="7">
        <f t="shared" si="10"/>
        <v>559301.33111330378</v>
      </c>
    </row>
    <row r="191" spans="1:13" x14ac:dyDescent="0.35">
      <c r="A191" s="3" t="s">
        <v>105</v>
      </c>
      <c r="B191" s="16">
        <v>2.9904211561436055E-4</v>
      </c>
      <c r="C191" s="8" t="s">
        <v>214</v>
      </c>
      <c r="D191" s="33" t="str">
        <f t="shared" si="12"/>
        <v>No</v>
      </c>
      <c r="E191" s="19">
        <v>1283.06</v>
      </c>
      <c r="F191" s="19">
        <v>1296.6400000000001</v>
      </c>
      <c r="G191" s="19">
        <f>$B191*'Allergan Payments'!E$24</f>
        <v>1235.3830456599885</v>
      </c>
      <c r="H191" s="19">
        <f>$B191*'Allergan Payments'!F$24</f>
        <v>1235.3830456599883</v>
      </c>
      <c r="I191" s="19">
        <f>$B191*'Allergan Payments'!G$24</f>
        <v>1235.3830457080528</v>
      </c>
      <c r="J191" s="19">
        <f>$B191*'Allergan Payments'!H$24</f>
        <v>1235.3830457080528</v>
      </c>
      <c r="K191" s="19">
        <f>$B191*'Allergan Payments'!I$24</f>
        <v>1235.3830457080528</v>
      </c>
      <c r="L191" s="39" t="s">
        <v>346</v>
      </c>
      <c r="M191" s="7">
        <f t="shared" si="10"/>
        <v>8756.6152284441359</v>
      </c>
    </row>
    <row r="192" spans="1:13" x14ac:dyDescent="0.35">
      <c r="A192" s="3" t="s">
        <v>75</v>
      </c>
      <c r="B192" s="16">
        <v>2.8708523658912223E-4</v>
      </c>
      <c r="C192" s="8" t="s">
        <v>215</v>
      </c>
      <c r="D192" s="33" t="str">
        <f t="shared" si="12"/>
        <v>No</v>
      </c>
      <c r="E192" s="19">
        <v>1231.76</v>
      </c>
      <c r="F192" s="19">
        <v>1244.8</v>
      </c>
      <c r="G192" s="19">
        <f>$B192*'Allergan Payments'!E$24</f>
        <v>1185.9875764083069</v>
      </c>
      <c r="H192" s="19">
        <f>$B192*'Allergan Payments'!F$24</f>
        <v>1185.9875764083067</v>
      </c>
      <c r="I192" s="19">
        <f>$B192*'Allergan Payments'!G$24</f>
        <v>1185.9875764544495</v>
      </c>
      <c r="J192" s="19">
        <f>$B192*'Allergan Payments'!H$24</f>
        <v>1185.9875764544495</v>
      </c>
      <c r="K192" s="19">
        <f>$B192*'Allergan Payments'!I$24</f>
        <v>1185.9875764544495</v>
      </c>
      <c r="L192" s="39" t="s">
        <v>346</v>
      </c>
      <c r="M192" s="7">
        <f t="shared" si="10"/>
        <v>8406.4978821799632</v>
      </c>
    </row>
    <row r="193" spans="1:13" x14ac:dyDescent="0.35">
      <c r="A193" s="3" t="s">
        <v>216</v>
      </c>
      <c r="B193" s="16">
        <v>5.2318127209600006E-3</v>
      </c>
      <c r="C193" s="8" t="s">
        <v>216</v>
      </c>
      <c r="D193" s="33" t="str">
        <f t="shared" si="12"/>
        <v>No</v>
      </c>
      <c r="E193" s="19">
        <v>22447.43</v>
      </c>
      <c r="F193" s="19">
        <v>22685.06</v>
      </c>
      <c r="G193" s="19">
        <f>$B193*'Allergan Payments'!E$24</f>
        <v>21613.319315454501</v>
      </c>
      <c r="H193" s="19">
        <f>$B193*'Allergan Payments'!F$24</f>
        <v>21613.319315454497</v>
      </c>
      <c r="I193" s="19">
        <f>$B193*'Allergan Payments'!G$24</f>
        <v>21613.319316295401</v>
      </c>
      <c r="J193" s="19">
        <f>$B193*'Allergan Payments'!H$24</f>
        <v>21613.319316295401</v>
      </c>
      <c r="K193" s="19">
        <f>$B193*'Allergan Payments'!I$24</f>
        <v>21613.319316295398</v>
      </c>
      <c r="L193" s="39" t="s">
        <v>346</v>
      </c>
      <c r="M193" s="7">
        <f t="shared" si="10"/>
        <v>153199.08657979523</v>
      </c>
    </row>
    <row r="194" spans="1:13" x14ac:dyDescent="0.35">
      <c r="A194" s="3" t="s">
        <v>217</v>
      </c>
      <c r="B194" s="16">
        <v>3.4855560519191808E-4</v>
      </c>
      <c r="C194" s="8" t="s">
        <v>218</v>
      </c>
      <c r="D194" s="33" t="str">
        <f t="shared" si="12"/>
        <v>No</v>
      </c>
      <c r="E194" s="19">
        <v>1495.5</v>
      </c>
      <c r="F194" s="19">
        <v>1511.33</v>
      </c>
      <c r="G194" s="19">
        <f>$B194*'Allergan Payments'!E$24</f>
        <v>1439.9299049875169</v>
      </c>
      <c r="H194" s="19">
        <f>$B194*'Allergan Payments'!F$24</f>
        <v>1439.9299049875167</v>
      </c>
      <c r="I194" s="19">
        <f>$B194*'Allergan Payments'!G$24</f>
        <v>1439.9299050435395</v>
      </c>
      <c r="J194" s="19">
        <f>$B194*'Allergan Payments'!H$24</f>
        <v>1439.9299050435395</v>
      </c>
      <c r="K194" s="19">
        <f>$B194*'Allergan Payments'!I$24</f>
        <v>1439.9299050435393</v>
      </c>
      <c r="L194" s="39" t="s">
        <v>346</v>
      </c>
      <c r="M194" s="7">
        <f t="shared" si="10"/>
        <v>10206.479525105653</v>
      </c>
    </row>
    <row r="195" spans="1:13" x14ac:dyDescent="0.35">
      <c r="A195" s="3" t="s">
        <v>47</v>
      </c>
      <c r="B195" s="16">
        <v>1.2868028544570567E-4</v>
      </c>
      <c r="C195" s="8" t="s">
        <v>219</v>
      </c>
      <c r="D195" s="33" t="str">
        <f t="shared" si="12"/>
        <v>No</v>
      </c>
      <c r="E195" s="19">
        <v>0</v>
      </c>
      <c r="F195" s="19">
        <v>0</v>
      </c>
      <c r="G195" s="19">
        <f>$B195*'Allergan Payments'!E$24</f>
        <v>531.59549993057419</v>
      </c>
      <c r="H195" s="19">
        <f>$B195*'Allergan Payments'!F$24</f>
        <v>531.59549993057408</v>
      </c>
      <c r="I195" s="19">
        <f>$B195*'Allergan Payments'!G$24</f>
        <v>531.59549995125667</v>
      </c>
      <c r="J195" s="19">
        <f>$B195*'Allergan Payments'!H$24</f>
        <v>531.59549995125667</v>
      </c>
      <c r="K195" s="19">
        <f>$B195*'Allergan Payments'!I$24</f>
        <v>531.59549995125667</v>
      </c>
      <c r="L195" s="39" t="s">
        <v>346</v>
      </c>
      <c r="M195" s="7">
        <f t="shared" si="10"/>
        <v>2657.9774997149179</v>
      </c>
    </row>
    <row r="196" spans="1:13" x14ac:dyDescent="0.35">
      <c r="A196" s="3" t="s">
        <v>22</v>
      </c>
      <c r="B196" s="16">
        <v>9.3741051152000014E-4</v>
      </c>
      <c r="C196" s="8" t="s">
        <v>220</v>
      </c>
      <c r="D196" s="33" t="str">
        <f t="shared" si="12"/>
        <v>No</v>
      </c>
      <c r="E196" s="19">
        <v>4022.02</v>
      </c>
      <c r="F196" s="19">
        <v>4064.6</v>
      </c>
      <c r="G196" s="19">
        <f>$B196*'Allergan Payments'!E$24</f>
        <v>3872.5684185858308</v>
      </c>
      <c r="H196" s="19">
        <f>$B196*'Allergan Payments'!F$24</f>
        <v>3872.5684185858304</v>
      </c>
      <c r="I196" s="19">
        <f>$B196*'Allergan Payments'!G$24</f>
        <v>3872.5684187364991</v>
      </c>
      <c r="J196" s="19">
        <f>$B196*'Allergan Payments'!H$24</f>
        <v>3872.5684187364991</v>
      </c>
      <c r="K196" s="19">
        <f>$B196*'Allergan Payments'!I$24</f>
        <v>3872.5684187364986</v>
      </c>
      <c r="L196" s="39" t="s">
        <v>346</v>
      </c>
      <c r="M196" s="7">
        <f t="shared" ref="M196:M259" si="13">SUM(E196:L196)</f>
        <v>27449.46209338116</v>
      </c>
    </row>
    <row r="197" spans="1:13" x14ac:dyDescent="0.35">
      <c r="A197" s="3" t="s">
        <v>105</v>
      </c>
      <c r="B197" s="16">
        <v>4.1937412125987635E-4</v>
      </c>
      <c r="C197" s="8" t="s">
        <v>221</v>
      </c>
      <c r="D197" s="33" t="str">
        <f t="shared" si="12"/>
        <v>No</v>
      </c>
      <c r="E197" s="19">
        <v>1799.35</v>
      </c>
      <c r="F197" s="19">
        <v>1818.4</v>
      </c>
      <c r="G197" s="19">
        <f>$B197*'Allergan Payments'!E$24</f>
        <v>1732.4906832224399</v>
      </c>
      <c r="H197" s="19">
        <f>$B197*'Allergan Payments'!F$24</f>
        <v>1732.4906832224397</v>
      </c>
      <c r="I197" s="19">
        <f>$B197*'Allergan Payments'!G$24</f>
        <v>1732.490683289845</v>
      </c>
      <c r="J197" s="19">
        <f>$B197*'Allergan Payments'!H$24</f>
        <v>1732.490683289845</v>
      </c>
      <c r="K197" s="19">
        <f>$B197*'Allergan Payments'!I$24</f>
        <v>1732.4906832898448</v>
      </c>
      <c r="L197" s="39" t="s">
        <v>346</v>
      </c>
      <c r="M197" s="7">
        <f t="shared" si="13"/>
        <v>12280.203416314414</v>
      </c>
    </row>
    <row r="198" spans="1:13" x14ac:dyDescent="0.35">
      <c r="A198" s="3" t="s">
        <v>34</v>
      </c>
      <c r="B198" s="16">
        <v>8.7589028181219765E-4</v>
      </c>
      <c r="C198" s="8" t="s">
        <v>222</v>
      </c>
      <c r="D198" s="33" t="str">
        <f t="shared" si="12"/>
        <v>No</v>
      </c>
      <c r="E198" s="19">
        <v>3758.06</v>
      </c>
      <c r="F198" s="19">
        <v>3797.85</v>
      </c>
      <c r="G198" s="19">
        <f>$B198*'Allergan Payments'!E$24</f>
        <v>3618.4201071013817</v>
      </c>
      <c r="H198" s="19">
        <f>$B198*'Allergan Payments'!F$24</f>
        <v>3618.4201071013813</v>
      </c>
      <c r="I198" s="19">
        <f>$B198*'Allergan Payments'!G$24</f>
        <v>3618.420107242162</v>
      </c>
      <c r="J198" s="19">
        <f>$B198*'Allergan Payments'!H$24</f>
        <v>3618.420107242162</v>
      </c>
      <c r="K198" s="19">
        <f>$B198*'Allergan Payments'!I$24</f>
        <v>3618.4201072421615</v>
      </c>
      <c r="L198" s="39" t="s">
        <v>346</v>
      </c>
      <c r="M198" s="7">
        <f t="shared" si="13"/>
        <v>25648.010535929247</v>
      </c>
    </row>
    <row r="199" spans="1:13" x14ac:dyDescent="0.35">
      <c r="A199" s="3" t="s">
        <v>34</v>
      </c>
      <c r="B199" s="16">
        <v>6.2011746176264277E-4</v>
      </c>
      <c r="C199" s="8" t="s">
        <v>223</v>
      </c>
      <c r="D199" s="33" t="str">
        <f t="shared" si="12"/>
        <v>No</v>
      </c>
      <c r="E199" s="19">
        <v>2660.65</v>
      </c>
      <c r="F199" s="19">
        <v>2688.82</v>
      </c>
      <c r="G199" s="19">
        <f>$B199*'Allergan Payments'!E$24</f>
        <v>2561.7883186968943</v>
      </c>
      <c r="H199" s="19">
        <f>$B199*'Allergan Payments'!F$24</f>
        <v>2561.7883186968943</v>
      </c>
      <c r="I199" s="19">
        <f>$B199*'Allergan Payments'!G$24</f>
        <v>2561.7883187965649</v>
      </c>
      <c r="J199" s="19">
        <f>$B199*'Allergan Payments'!H$24</f>
        <v>2561.7883187965649</v>
      </c>
      <c r="K199" s="19">
        <f>$B199*'Allergan Payments'!I$24</f>
        <v>2561.7883187965645</v>
      </c>
      <c r="L199" s="39" t="s">
        <v>346</v>
      </c>
      <c r="M199" s="7">
        <f t="shared" si="13"/>
        <v>18158.411593783483</v>
      </c>
    </row>
    <row r="200" spans="1:13" x14ac:dyDescent="0.35">
      <c r="A200" s="3" t="s">
        <v>34</v>
      </c>
      <c r="B200" s="16">
        <v>1.6393846172607529E-4</v>
      </c>
      <c r="C200" s="8" t="s">
        <v>224</v>
      </c>
      <c r="D200" s="33" t="str">
        <f t="shared" si="12"/>
        <v>No</v>
      </c>
      <c r="E200" s="19">
        <v>703.39</v>
      </c>
      <c r="F200" s="19">
        <v>710.83</v>
      </c>
      <c r="G200" s="19">
        <f>$B200*'Allergan Payments'!E$24</f>
        <v>677.2517500817421</v>
      </c>
      <c r="H200" s="19">
        <f>$B200*'Allergan Payments'!F$24</f>
        <v>677.25175008174199</v>
      </c>
      <c r="I200" s="19">
        <f>$B200*'Allergan Payments'!G$24</f>
        <v>677.25175010809164</v>
      </c>
      <c r="J200" s="19">
        <f>$B200*'Allergan Payments'!H$24</f>
        <v>677.25175010809164</v>
      </c>
      <c r="K200" s="19">
        <f>$B200*'Allergan Payments'!I$24</f>
        <v>677.25175010809153</v>
      </c>
      <c r="L200" s="39" t="s">
        <v>346</v>
      </c>
      <c r="M200" s="7">
        <f t="shared" si="13"/>
        <v>4800.4787504877586</v>
      </c>
    </row>
    <row r="201" spans="1:13" x14ac:dyDescent="0.35">
      <c r="A201" s="3" t="s">
        <v>34</v>
      </c>
      <c r="B201" s="16">
        <v>5.8535727113920008E-2</v>
      </c>
      <c r="C201" s="8" t="s">
        <v>34</v>
      </c>
      <c r="D201" s="33" t="str">
        <f t="shared" si="12"/>
        <v>No</v>
      </c>
      <c r="E201" s="19">
        <v>252004.47</v>
      </c>
      <c r="F201" s="19">
        <v>254672.28</v>
      </c>
      <c r="G201" s="19">
        <f>$B201*'Allergan Payments'!E$24</f>
        <v>241818.93140152667</v>
      </c>
      <c r="H201" s="19">
        <f>$B201*'Allergan Payments'!F$24</f>
        <v>241818.93140152664</v>
      </c>
      <c r="I201" s="19">
        <f>$B201*'Allergan Payments'!G$24</f>
        <v>241818.93141093501</v>
      </c>
      <c r="J201" s="19">
        <f>$B201*'Allergan Payments'!H$24</f>
        <v>241818.93141093501</v>
      </c>
      <c r="K201" s="19">
        <f>$B201*'Allergan Payments'!I$24</f>
        <v>241818.93141093498</v>
      </c>
      <c r="L201" s="39" t="s">
        <v>346</v>
      </c>
      <c r="M201" s="7">
        <f t="shared" si="13"/>
        <v>1715771.4070358584</v>
      </c>
    </row>
    <row r="202" spans="1:13" x14ac:dyDescent="0.35">
      <c r="A202" s="3" t="s">
        <v>225</v>
      </c>
      <c r="B202" s="16">
        <v>2.4376421473599999E-3</v>
      </c>
      <c r="C202" s="8" t="s">
        <v>225</v>
      </c>
      <c r="D202" s="33" t="str">
        <f t="shared" si="12"/>
        <v>No</v>
      </c>
      <c r="E202" s="19">
        <v>10458.86</v>
      </c>
      <c r="F202" s="19">
        <v>10569.58</v>
      </c>
      <c r="G202" s="19">
        <f>$B202*'Allergan Payments'!E$24</f>
        <v>10070.226309254136</v>
      </c>
      <c r="H202" s="19">
        <f>$B202*'Allergan Payments'!F$24</f>
        <v>10070.226309254136</v>
      </c>
      <c r="I202" s="19">
        <f>$B202*'Allergan Payments'!G$24</f>
        <v>10070.226309645936</v>
      </c>
      <c r="J202" s="19">
        <f>$B202*'Allergan Payments'!H$24</f>
        <v>10070.226309645936</v>
      </c>
      <c r="K202" s="19">
        <f>$B202*'Allergan Payments'!I$24</f>
        <v>10070.226309645934</v>
      </c>
      <c r="L202" s="39" t="s">
        <v>346</v>
      </c>
      <c r="M202" s="7">
        <f t="shared" si="13"/>
        <v>71379.571547446074</v>
      </c>
    </row>
    <row r="203" spans="1:13" x14ac:dyDescent="0.35">
      <c r="A203" s="3" t="s">
        <v>60</v>
      </c>
      <c r="B203" s="16">
        <v>2.1604790854926307E-6</v>
      </c>
      <c r="C203" s="8" t="s">
        <v>226</v>
      </c>
      <c r="D203" s="33" t="str">
        <f t="shared" si="12"/>
        <v>Yes</v>
      </c>
      <c r="E203" s="19">
        <v>64.790000000000006</v>
      </c>
      <c r="F203" s="19">
        <v>0</v>
      </c>
      <c r="G203" s="52">
        <f>$B203*'Allergan Payments'!E$24</f>
        <v>8.9252285660074477</v>
      </c>
      <c r="H203" s="52">
        <f>$B203*'Allergan Payments'!F$24</f>
        <v>8.925228566007446</v>
      </c>
      <c r="I203" s="52">
        <f>$B203*'Allergan Payments'!G$24</f>
        <v>8.9252285663546971</v>
      </c>
      <c r="J203" s="52">
        <f>$B203*'Allergan Payments'!H$24</f>
        <v>8.9252285663546971</v>
      </c>
      <c r="K203" s="52">
        <f>$B203*'Allergan Payments'!I$24</f>
        <v>8.9252285663546971</v>
      </c>
      <c r="L203" s="39" t="s">
        <v>346</v>
      </c>
      <c r="M203" s="7">
        <f>E203</f>
        <v>64.790000000000006</v>
      </c>
    </row>
    <row r="204" spans="1:13" x14ac:dyDescent="0.35">
      <c r="A204" s="3" t="s">
        <v>227</v>
      </c>
      <c r="B204" s="16">
        <v>6.2312530156800007E-3</v>
      </c>
      <c r="C204" s="8" t="s">
        <v>227</v>
      </c>
      <c r="D204" s="33" t="str">
        <f t="shared" si="12"/>
        <v>No</v>
      </c>
      <c r="E204" s="19">
        <v>26735.59</v>
      </c>
      <c r="F204" s="19">
        <v>27018.62</v>
      </c>
      <c r="G204" s="19">
        <f>$B204*'Allergan Payments'!E$24</f>
        <v>25742.141079271696</v>
      </c>
      <c r="H204" s="19">
        <f>$B204*'Allergan Payments'!F$24</f>
        <v>25742.141079271692</v>
      </c>
      <c r="I204" s="19">
        <f>$B204*'Allergan Payments'!G$24</f>
        <v>25742.141080273235</v>
      </c>
      <c r="J204" s="19">
        <f>$B204*'Allergan Payments'!H$24</f>
        <v>25742.141080273235</v>
      </c>
      <c r="K204" s="19">
        <f>$B204*'Allergan Payments'!I$24</f>
        <v>25742.141080273232</v>
      </c>
      <c r="L204" s="39" t="s">
        <v>346</v>
      </c>
      <c r="M204" s="7">
        <f t="shared" si="13"/>
        <v>182464.91539936309</v>
      </c>
    </row>
    <row r="205" spans="1:13" x14ac:dyDescent="0.35">
      <c r="A205" s="3" t="s">
        <v>228</v>
      </c>
      <c r="B205" s="16">
        <v>5.6487088447999996E-4</v>
      </c>
      <c r="C205" s="8" t="s">
        <v>228</v>
      </c>
      <c r="D205" s="33" t="str">
        <f t="shared" si="12"/>
        <v>No</v>
      </c>
      <c r="E205" s="19">
        <v>2423.61</v>
      </c>
      <c r="F205" s="19">
        <v>2449.27</v>
      </c>
      <c r="G205" s="19">
        <f>$B205*'Allergan Payments'!E$24</f>
        <v>2333.5573059330063</v>
      </c>
      <c r="H205" s="19">
        <f>$B205*'Allergan Payments'!F$24</f>
        <v>2333.5573059330063</v>
      </c>
      <c r="I205" s="19">
        <f>$B205*'Allergan Payments'!G$24</f>
        <v>2333.5573060237971</v>
      </c>
      <c r="J205" s="19">
        <f>$B205*'Allergan Payments'!H$24</f>
        <v>2333.5573060237971</v>
      </c>
      <c r="K205" s="19">
        <f>$B205*'Allergan Payments'!I$24</f>
        <v>2333.5573060237966</v>
      </c>
      <c r="L205" s="39" t="s">
        <v>346</v>
      </c>
      <c r="M205" s="7">
        <f t="shared" si="13"/>
        <v>16540.6665299374</v>
      </c>
    </row>
    <row r="206" spans="1:13" x14ac:dyDescent="0.35">
      <c r="A206" s="3" t="s">
        <v>34</v>
      </c>
      <c r="B206" s="16">
        <v>2.8958027866277504E-4</v>
      </c>
      <c r="C206" s="8" t="s">
        <v>229</v>
      </c>
      <c r="D206" s="33" t="str">
        <f t="shared" si="12"/>
        <v>No</v>
      </c>
      <c r="E206" s="19">
        <v>1242.46</v>
      </c>
      <c r="F206" s="19">
        <v>1255.6199999999999</v>
      </c>
      <c r="G206" s="19">
        <f>$B206*'Allergan Payments'!E$24</f>
        <v>1196.2949295035944</v>
      </c>
      <c r="H206" s="19">
        <f>$B206*'Allergan Payments'!F$24</f>
        <v>1196.2949295035942</v>
      </c>
      <c r="I206" s="19">
        <f>$B206*'Allergan Payments'!G$24</f>
        <v>1196.294929550138</v>
      </c>
      <c r="J206" s="19">
        <f>$B206*'Allergan Payments'!H$24</f>
        <v>1196.294929550138</v>
      </c>
      <c r="K206" s="19">
        <f>$B206*'Allergan Payments'!I$24</f>
        <v>1196.294929550138</v>
      </c>
      <c r="L206" s="39" t="s">
        <v>346</v>
      </c>
      <c r="M206" s="7">
        <f t="shared" si="13"/>
        <v>8479.5546476576037</v>
      </c>
    </row>
    <row r="207" spans="1:13" x14ac:dyDescent="0.35">
      <c r="A207" s="3" t="s">
        <v>230</v>
      </c>
      <c r="B207" s="16">
        <v>2.1551218640000003E-3</v>
      </c>
      <c r="C207" s="8" t="s">
        <v>230</v>
      </c>
      <c r="D207" s="33" t="str">
        <f t="shared" si="12"/>
        <v>No</v>
      </c>
      <c r="E207" s="19">
        <v>9246.69</v>
      </c>
      <c r="F207" s="19">
        <v>9344.58</v>
      </c>
      <c r="G207" s="19">
        <f>$B207*'Allergan Payments'!E$24</f>
        <v>8903.0971662537904</v>
      </c>
      <c r="H207" s="19">
        <f>$B207*'Allergan Payments'!F$24</f>
        <v>8903.0971662537886</v>
      </c>
      <c r="I207" s="19">
        <f>$B207*'Allergan Payments'!G$24</f>
        <v>8903.0971666001788</v>
      </c>
      <c r="J207" s="19">
        <f>$B207*'Allergan Payments'!H$24</f>
        <v>8903.0971666001788</v>
      </c>
      <c r="K207" s="19">
        <f>$B207*'Allergan Payments'!I$24</f>
        <v>8903.0971666001788</v>
      </c>
      <c r="L207" s="39" t="s">
        <v>346</v>
      </c>
      <c r="M207" s="7">
        <f t="shared" si="13"/>
        <v>63106.75583230811</v>
      </c>
    </row>
    <row r="208" spans="1:13" x14ac:dyDescent="0.35">
      <c r="A208" s="3" t="s">
        <v>231</v>
      </c>
      <c r="B208" s="16">
        <v>5.8661152369835065E-4</v>
      </c>
      <c r="C208" s="8" t="s">
        <v>231</v>
      </c>
      <c r="D208" s="33" t="str">
        <f t="shared" si="12"/>
        <v>No</v>
      </c>
      <c r="E208" s="19">
        <v>2516.89</v>
      </c>
      <c r="F208" s="19">
        <v>2543.54</v>
      </c>
      <c r="G208" s="19">
        <f>$B208*'Allergan Payments'!E$24</f>
        <v>2423.3707993835301</v>
      </c>
      <c r="H208" s="19">
        <f>$B208*'Allergan Payments'!F$24</f>
        <v>2423.3707993835296</v>
      </c>
      <c r="I208" s="19">
        <f>$B208*'Allergan Payments'!G$24</f>
        <v>2423.3707994778147</v>
      </c>
      <c r="J208" s="19">
        <f>$B208*'Allergan Payments'!H$24</f>
        <v>2423.3707994778147</v>
      </c>
      <c r="K208" s="19">
        <f>$B208*'Allergan Payments'!I$24</f>
        <v>2423.3707994778147</v>
      </c>
      <c r="L208" s="39" t="s">
        <v>346</v>
      </c>
      <c r="M208" s="7">
        <f t="shared" si="13"/>
        <v>17177.283997200506</v>
      </c>
    </row>
    <row r="209" spans="1:13" ht="9" customHeight="1" x14ac:dyDescent="0.35">
      <c r="A209" s="3" t="s">
        <v>83</v>
      </c>
      <c r="B209" s="16">
        <v>7.4328491705644338E-5</v>
      </c>
      <c r="C209" s="8" t="s">
        <v>232</v>
      </c>
      <c r="D209" s="33" t="str">
        <f t="shared" si="12"/>
        <v>Yes</v>
      </c>
      <c r="E209" s="19">
        <v>2229.11</v>
      </c>
      <c r="F209" s="19">
        <v>0</v>
      </c>
      <c r="G209" s="52">
        <f>$B209*'Allergan Payments'!E$24</f>
        <v>307.0609578653694</v>
      </c>
      <c r="H209" s="52">
        <f>$B209*'Allergan Payments'!F$24</f>
        <v>307.06095786536935</v>
      </c>
      <c r="I209" s="52">
        <f>$B209*'Allergan Payments'!G$24</f>
        <v>307.06095787731607</v>
      </c>
      <c r="J209" s="52">
        <f>$B209*'Allergan Payments'!H$24</f>
        <v>307.06095787731607</v>
      </c>
      <c r="K209" s="52">
        <f>$B209*'Allergan Payments'!I$24</f>
        <v>307.06095787731601</v>
      </c>
      <c r="L209" s="39" t="s">
        <v>346</v>
      </c>
      <c r="M209" s="7">
        <f>E209</f>
        <v>2229.11</v>
      </c>
    </row>
    <row r="210" spans="1:13" x14ac:dyDescent="0.35">
      <c r="A210" s="3" t="s">
        <v>233</v>
      </c>
      <c r="B210" s="16">
        <v>3.1792059880000004E-3</v>
      </c>
      <c r="C210" s="8" t="s">
        <v>233</v>
      </c>
      <c r="D210" s="33" t="str">
        <f t="shared" si="12"/>
        <v>No</v>
      </c>
      <c r="E210" s="19">
        <v>13640.59</v>
      </c>
      <c r="F210" s="19">
        <v>13784.99</v>
      </c>
      <c r="G210" s="19">
        <f>$B210*'Allergan Payments'!E$24</f>
        <v>13133.725890639418</v>
      </c>
      <c r="H210" s="19">
        <f>$B210*'Allergan Payments'!F$24</f>
        <v>13133.725890639416</v>
      </c>
      <c r="I210" s="19">
        <f>$B210*'Allergan Payments'!G$24</f>
        <v>13133.725891150405</v>
      </c>
      <c r="J210" s="19">
        <f>$B210*'Allergan Payments'!H$24</f>
        <v>13133.725891150405</v>
      </c>
      <c r="K210" s="19">
        <f>$B210*'Allergan Payments'!I$24</f>
        <v>13133.725891150403</v>
      </c>
      <c r="L210" s="39" t="s">
        <v>346</v>
      </c>
      <c r="M210" s="7">
        <f t="shared" si="13"/>
        <v>93094.209454730051</v>
      </c>
    </row>
    <row r="211" spans="1:13" x14ac:dyDescent="0.35">
      <c r="A211" s="3" t="s">
        <v>24</v>
      </c>
      <c r="B211" s="16">
        <v>8.8613450937211676E-3</v>
      </c>
      <c r="C211" s="8" t="s">
        <v>24</v>
      </c>
      <c r="D211" s="33" t="str">
        <f t="shared" si="12"/>
        <v>No</v>
      </c>
      <c r="E211" s="19">
        <v>39413.949999999997</v>
      </c>
      <c r="F211" s="19">
        <v>38422.660000000003</v>
      </c>
      <c r="G211" s="19">
        <f>$B211*'Allergan Payments'!E$24</f>
        <v>36607.403836865276</v>
      </c>
      <c r="H211" s="19">
        <f>$B211*'Allergan Payments'!F$24</f>
        <v>36607.403836865269</v>
      </c>
      <c r="I211" s="19">
        <f>$B211*'Allergan Payments'!G$24</f>
        <v>36607.403838289545</v>
      </c>
      <c r="J211" s="19">
        <f>$B211*'Allergan Payments'!H$24</f>
        <v>36607.403838289545</v>
      </c>
      <c r="K211" s="19">
        <f>$B211*'Allergan Payments'!I$24</f>
        <v>36607.403838289538</v>
      </c>
      <c r="L211" s="39" t="s">
        <v>346</v>
      </c>
      <c r="M211" s="7">
        <f t="shared" si="13"/>
        <v>260873.62918859918</v>
      </c>
    </row>
    <row r="212" spans="1:13" x14ac:dyDescent="0.35">
      <c r="A212" s="3" t="s">
        <v>234</v>
      </c>
      <c r="B212" s="16">
        <v>3.587611178190589E-4</v>
      </c>
      <c r="C212" s="8" t="s">
        <v>235</v>
      </c>
      <c r="D212" s="33" t="str">
        <f t="shared" si="12"/>
        <v>No</v>
      </c>
      <c r="E212" s="19">
        <v>1539.29</v>
      </c>
      <c r="F212" s="19">
        <v>1555.58</v>
      </c>
      <c r="G212" s="19">
        <f>$B212*'Allergan Payments'!E$24</f>
        <v>1482.0902449982777</v>
      </c>
      <c r="H212" s="19">
        <f>$B212*'Allergan Payments'!F$24</f>
        <v>1482.0902449982775</v>
      </c>
      <c r="I212" s="19">
        <f>$B212*'Allergan Payments'!G$24</f>
        <v>1482.0902450559408</v>
      </c>
      <c r="J212" s="19">
        <f>$B212*'Allergan Payments'!H$24</f>
        <v>1482.0902450559408</v>
      </c>
      <c r="K212" s="19">
        <f>$B212*'Allergan Payments'!I$24</f>
        <v>1482.0902450559406</v>
      </c>
      <c r="L212" s="39" t="s">
        <v>346</v>
      </c>
      <c r="M212" s="7">
        <f t="shared" si="13"/>
        <v>10505.321225164378</v>
      </c>
    </row>
    <row r="213" spans="1:13" x14ac:dyDescent="0.35">
      <c r="A213" s="3" t="s">
        <v>34</v>
      </c>
      <c r="B213" s="16">
        <v>1.3184908745622357E-4</v>
      </c>
      <c r="C213" s="8" t="s">
        <v>236</v>
      </c>
      <c r="D213" s="33" t="str">
        <f t="shared" si="12"/>
        <v>No</v>
      </c>
      <c r="E213" s="19">
        <v>565.71</v>
      </c>
      <c r="F213" s="19">
        <v>571.70000000000005</v>
      </c>
      <c r="G213" s="19">
        <f>$B213*'Allergan Payments'!E$24</f>
        <v>544.68624559629643</v>
      </c>
      <c r="H213" s="19">
        <f>$B213*'Allergan Payments'!F$24</f>
        <v>544.68624559629632</v>
      </c>
      <c r="I213" s="19">
        <f>$B213*'Allergan Payments'!G$24</f>
        <v>544.68624561748823</v>
      </c>
      <c r="J213" s="19">
        <f>$B213*'Allergan Payments'!H$24</f>
        <v>544.68624561748823</v>
      </c>
      <c r="K213" s="19">
        <f>$B213*'Allergan Payments'!I$24</f>
        <v>544.68624561748823</v>
      </c>
      <c r="L213" s="39" t="s">
        <v>346</v>
      </c>
      <c r="M213" s="7">
        <f t="shared" si="13"/>
        <v>3860.8412280450571</v>
      </c>
    </row>
    <row r="214" spans="1:13" x14ac:dyDescent="0.35">
      <c r="A214" s="3" t="s">
        <v>24</v>
      </c>
      <c r="B214" s="16">
        <v>4.1475564429802469E-5</v>
      </c>
      <c r="C214" s="8" t="s">
        <v>237</v>
      </c>
      <c r="D214" s="33" t="str">
        <f t="shared" si="12"/>
        <v>Yes</v>
      </c>
      <c r="E214" s="19">
        <v>1243.8499999999999</v>
      </c>
      <c r="F214" s="19">
        <v>0</v>
      </c>
      <c r="G214" s="52">
        <f>$B214*'Allergan Payments'!E$24</f>
        <v>171.34111361033959</v>
      </c>
      <c r="H214" s="52">
        <f>$B214*'Allergan Payments'!F$24</f>
        <v>171.34111361033956</v>
      </c>
      <c r="I214" s="52">
        <f>$B214*'Allergan Payments'!G$24</f>
        <v>171.34111361700587</v>
      </c>
      <c r="J214" s="52">
        <f>$B214*'Allergan Payments'!H$24</f>
        <v>171.34111361700587</v>
      </c>
      <c r="K214" s="52">
        <f>$B214*'Allergan Payments'!I$24</f>
        <v>171.34111361700585</v>
      </c>
      <c r="L214" s="39" t="s">
        <v>346</v>
      </c>
      <c r="M214" s="7">
        <f>E214</f>
        <v>1243.8499999999999</v>
      </c>
    </row>
    <row r="215" spans="1:13" x14ac:dyDescent="0.35">
      <c r="A215" s="3" t="s">
        <v>28</v>
      </c>
      <c r="B215" s="16">
        <v>2.8482037360000003E-4</v>
      </c>
      <c r="C215" s="8" t="s">
        <v>238</v>
      </c>
      <c r="D215" s="33" t="str">
        <f t="shared" si="12"/>
        <v>No</v>
      </c>
      <c r="E215" s="19">
        <v>1222.04</v>
      </c>
      <c r="F215" s="19">
        <v>1234.98</v>
      </c>
      <c r="G215" s="19">
        <f>$B215*'Allergan Payments'!E$24</f>
        <v>1176.6311239509125</v>
      </c>
      <c r="H215" s="19">
        <f>$B215*'Allergan Payments'!F$24</f>
        <v>1176.6311239509125</v>
      </c>
      <c r="I215" s="19">
        <f>$B215*'Allergan Payments'!G$24</f>
        <v>1176.6311239966913</v>
      </c>
      <c r="J215" s="19">
        <f>$B215*'Allergan Payments'!H$24</f>
        <v>1176.6311239966913</v>
      </c>
      <c r="K215" s="19">
        <f>$B215*'Allergan Payments'!I$24</f>
        <v>1176.631123996691</v>
      </c>
      <c r="L215" s="39" t="s">
        <v>346</v>
      </c>
      <c r="M215" s="7">
        <f t="shared" si="13"/>
        <v>8340.1756198918974</v>
      </c>
    </row>
    <row r="216" spans="1:13" x14ac:dyDescent="0.35">
      <c r="A216" s="3" t="s">
        <v>14</v>
      </c>
      <c r="B216" s="16">
        <v>8.7988886930075511E-5</v>
      </c>
      <c r="C216" s="8" t="s">
        <v>239</v>
      </c>
      <c r="D216" s="33" t="str">
        <f t="shared" si="12"/>
        <v>No</v>
      </c>
      <c r="E216" s="19">
        <v>377.52</v>
      </c>
      <c r="F216" s="19">
        <v>381.52</v>
      </c>
      <c r="G216" s="19">
        <f>$B216*'Allergan Payments'!E$24</f>
        <v>363.49388077526385</v>
      </c>
      <c r="H216" s="19">
        <f>$B216*'Allergan Payments'!F$24</f>
        <v>363.49388077526379</v>
      </c>
      <c r="I216" s="19">
        <f>$B216*'Allergan Payments'!G$24</f>
        <v>363.49388078940609</v>
      </c>
      <c r="J216" s="19">
        <f>$B216*'Allergan Payments'!H$24</f>
        <v>363.49388078940609</v>
      </c>
      <c r="K216" s="19">
        <f>$B216*'Allergan Payments'!I$24</f>
        <v>363.49388078940609</v>
      </c>
      <c r="L216" s="39" t="s">
        <v>346</v>
      </c>
      <c r="M216" s="7">
        <f t="shared" si="13"/>
        <v>2576.5094039187456</v>
      </c>
    </row>
    <row r="217" spans="1:13" x14ac:dyDescent="0.35">
      <c r="A217" s="3" t="s">
        <v>22</v>
      </c>
      <c r="B217" s="16">
        <v>3.6990834623853557E-4</v>
      </c>
      <c r="C217" s="8" t="s">
        <v>240</v>
      </c>
      <c r="D217" s="33" t="str">
        <f t="shared" si="12"/>
        <v>No</v>
      </c>
      <c r="E217" s="19">
        <v>1587.12</v>
      </c>
      <c r="F217" s="19">
        <v>1603.92</v>
      </c>
      <c r="G217" s="19">
        <f>$B217*'Allergan Payments'!E$24</f>
        <v>1528.1409391195018</v>
      </c>
      <c r="H217" s="19">
        <f>$B217*'Allergan Payments'!F$24</f>
        <v>1528.1409391195018</v>
      </c>
      <c r="I217" s="19">
        <f>$B217*'Allergan Payments'!G$24</f>
        <v>1528.1409391789566</v>
      </c>
      <c r="J217" s="19">
        <f>$B217*'Allergan Payments'!H$24</f>
        <v>1528.1409391789566</v>
      </c>
      <c r="K217" s="19">
        <f>$B217*'Allergan Payments'!I$24</f>
        <v>1528.1409391789564</v>
      </c>
      <c r="L217" s="39" t="s">
        <v>346</v>
      </c>
      <c r="M217" s="7">
        <f t="shared" si="13"/>
        <v>10831.744695775873</v>
      </c>
    </row>
    <row r="218" spans="1:13" x14ac:dyDescent="0.35">
      <c r="A218" s="3" t="s">
        <v>34</v>
      </c>
      <c r="B218" s="16">
        <v>3.3688147393600002E-3</v>
      </c>
      <c r="C218" s="8" t="s">
        <v>241</v>
      </c>
      <c r="D218" s="33" t="str">
        <f t="shared" si="12"/>
        <v>No</v>
      </c>
      <c r="E218" s="19">
        <v>14454.11</v>
      </c>
      <c r="F218" s="19">
        <v>14607.13</v>
      </c>
      <c r="G218" s="19">
        <f>$B218*'Allergan Payments'!E$24</f>
        <v>13917.025046538163</v>
      </c>
      <c r="H218" s="19">
        <f>$B218*'Allergan Payments'!F$24</f>
        <v>13917.025046538163</v>
      </c>
      <c r="I218" s="19">
        <f>$B218*'Allergan Payments'!G$24</f>
        <v>13917.025047079627</v>
      </c>
      <c r="J218" s="19">
        <f>$B218*'Allergan Payments'!H$24</f>
        <v>13917.025047079627</v>
      </c>
      <c r="K218" s="19">
        <f>$B218*'Allergan Payments'!I$24</f>
        <v>13917.025047079625</v>
      </c>
      <c r="L218" s="39" t="s">
        <v>346</v>
      </c>
      <c r="M218" s="7">
        <f t="shared" si="13"/>
        <v>98646.365234315206</v>
      </c>
    </row>
    <row r="219" spans="1:13" x14ac:dyDescent="0.35">
      <c r="A219" s="3" t="s">
        <v>121</v>
      </c>
      <c r="B219" s="16">
        <v>8.6247881362653192E-5</v>
      </c>
      <c r="C219" s="8" t="s">
        <v>242</v>
      </c>
      <c r="D219" s="33" t="str">
        <f t="shared" si="12"/>
        <v>No</v>
      </c>
      <c r="E219" s="19">
        <v>370.05</v>
      </c>
      <c r="F219" s="19">
        <v>373.97</v>
      </c>
      <c r="G219" s="19">
        <f>$B219*'Allergan Payments'!E$24</f>
        <v>356.30155351402004</v>
      </c>
      <c r="H219" s="19">
        <f>$B219*'Allergan Payments'!F$24</f>
        <v>356.30155351401999</v>
      </c>
      <c r="I219" s="19">
        <f>$B219*'Allergan Payments'!G$24</f>
        <v>356.3015535278825</v>
      </c>
      <c r="J219" s="19">
        <f>$B219*'Allergan Payments'!H$24</f>
        <v>356.3015535278825</v>
      </c>
      <c r="K219" s="19">
        <f>$B219*'Allergan Payments'!I$24</f>
        <v>356.30155352788245</v>
      </c>
      <c r="L219" s="39" t="s">
        <v>346</v>
      </c>
      <c r="M219" s="7">
        <f t="shared" si="13"/>
        <v>2525.5277676116875</v>
      </c>
    </row>
    <row r="220" spans="1:13" x14ac:dyDescent="0.35">
      <c r="A220" s="3" t="s">
        <v>121</v>
      </c>
      <c r="B220" s="16">
        <v>1.5570980204524306E-3</v>
      </c>
      <c r="C220" s="8" t="s">
        <v>243</v>
      </c>
      <c r="D220" s="33" t="str">
        <f t="shared" si="12"/>
        <v>No</v>
      </c>
      <c r="E220" s="19">
        <v>6680.83</v>
      </c>
      <c r="F220" s="19">
        <v>6751.55</v>
      </c>
      <c r="G220" s="19">
        <f>$B220*'Allergan Payments'!E$24</f>
        <v>6432.5805445354708</v>
      </c>
      <c r="H220" s="19">
        <f>$B220*'Allergan Payments'!F$24</f>
        <v>6432.5805445354699</v>
      </c>
      <c r="I220" s="19">
        <f>$B220*'Allergan Payments'!G$24</f>
        <v>6432.5805447857401</v>
      </c>
      <c r="J220" s="19">
        <f>$B220*'Allergan Payments'!H$24</f>
        <v>6432.5805447857401</v>
      </c>
      <c r="K220" s="19">
        <f>$B220*'Allergan Payments'!I$24</f>
        <v>6432.5805447857392</v>
      </c>
      <c r="L220" s="39" t="s">
        <v>346</v>
      </c>
      <c r="M220" s="7">
        <f t="shared" si="13"/>
        <v>45595.282723428165</v>
      </c>
    </row>
    <row r="221" spans="1:13" x14ac:dyDescent="0.35">
      <c r="A221" s="3" t="s">
        <v>83</v>
      </c>
      <c r="B221" s="16">
        <v>5.8689546567199742E-4</v>
      </c>
      <c r="C221" s="8" t="s">
        <v>244</v>
      </c>
      <c r="D221" s="33" t="str">
        <f t="shared" si="12"/>
        <v>No</v>
      </c>
      <c r="E221" s="19">
        <v>2518.11</v>
      </c>
      <c r="F221" s="19">
        <v>2544.77</v>
      </c>
      <c r="G221" s="19">
        <f>$B221*'Allergan Payments'!E$24</f>
        <v>2424.5438017195847</v>
      </c>
      <c r="H221" s="19">
        <f>$B221*'Allergan Payments'!F$24</f>
        <v>2424.5438017195847</v>
      </c>
      <c r="I221" s="19">
        <f>$B221*'Allergan Payments'!G$24</f>
        <v>2424.5438018139153</v>
      </c>
      <c r="J221" s="19">
        <f>$B221*'Allergan Payments'!H$24</f>
        <v>2424.5438018139153</v>
      </c>
      <c r="K221" s="19">
        <f>$B221*'Allergan Payments'!I$24</f>
        <v>2424.5438018139153</v>
      </c>
      <c r="L221" s="39" t="s">
        <v>346</v>
      </c>
      <c r="M221" s="7">
        <f t="shared" si="13"/>
        <v>17185.599008880916</v>
      </c>
    </row>
    <row r="222" spans="1:13" x14ac:dyDescent="0.35">
      <c r="A222" s="3" t="s">
        <v>245</v>
      </c>
      <c r="B222" s="16">
        <v>1.6298467953600002E-3</v>
      </c>
      <c r="C222" s="8" t="s">
        <v>245</v>
      </c>
      <c r="D222" s="33" t="str">
        <f t="shared" si="12"/>
        <v>No</v>
      </c>
      <c r="E222" s="19">
        <v>6992.96</v>
      </c>
      <c r="F222" s="19">
        <v>7066.99</v>
      </c>
      <c r="G222" s="19">
        <f>$B222*'Allergan Payments'!E$24</f>
        <v>6733.1154806554532</v>
      </c>
      <c r="H222" s="19">
        <f>$B222*'Allergan Payments'!F$24</f>
        <v>6733.1154806554523</v>
      </c>
      <c r="I222" s="19">
        <f>$B222*'Allergan Payments'!G$24</f>
        <v>6733.1154809174159</v>
      </c>
      <c r="J222" s="19">
        <f>$B222*'Allergan Payments'!H$24</f>
        <v>6733.1154809174159</v>
      </c>
      <c r="K222" s="19">
        <f>$B222*'Allergan Payments'!I$24</f>
        <v>6733.115480917415</v>
      </c>
      <c r="L222" s="39" t="s">
        <v>346</v>
      </c>
      <c r="M222" s="7">
        <f t="shared" si="13"/>
        <v>47725.527404063148</v>
      </c>
    </row>
    <row r="223" spans="1:13" x14ac:dyDescent="0.35">
      <c r="A223" s="3" t="s">
        <v>22</v>
      </c>
      <c r="B223" s="16">
        <v>1.2666525541676524E-3</v>
      </c>
      <c r="C223" s="8" t="s">
        <v>246</v>
      </c>
      <c r="D223" s="33" t="str">
        <f t="shared" si="12"/>
        <v>No</v>
      </c>
      <c r="E223" s="19">
        <v>5434.65</v>
      </c>
      <c r="F223" s="19">
        <v>5492.19</v>
      </c>
      <c r="G223" s="19">
        <f>$B223*'Allergan Payments'!E$24</f>
        <v>5232.7114090464029</v>
      </c>
      <c r="H223" s="19">
        <f>$B223*'Allergan Payments'!F$24</f>
        <v>5232.711409046402</v>
      </c>
      <c r="I223" s="19">
        <f>$B223*'Allergan Payments'!G$24</f>
        <v>5232.7114092499896</v>
      </c>
      <c r="J223" s="19">
        <f>$B223*'Allergan Payments'!H$24</f>
        <v>5232.7114092499896</v>
      </c>
      <c r="K223" s="19">
        <f>$B223*'Allergan Payments'!I$24</f>
        <v>5232.7114092499887</v>
      </c>
      <c r="L223" s="39" t="s">
        <v>346</v>
      </c>
      <c r="M223" s="7">
        <f t="shared" si="13"/>
        <v>37090.397045842772</v>
      </c>
    </row>
    <row r="224" spans="1:13" x14ac:dyDescent="0.35">
      <c r="A224" s="3" t="s">
        <v>22</v>
      </c>
      <c r="B224" s="16">
        <v>2.8839077355712506E-4</v>
      </c>
      <c r="C224" s="8" t="s">
        <v>247</v>
      </c>
      <c r="D224" s="33" t="str">
        <f t="shared" si="12"/>
        <v>No</v>
      </c>
      <c r="E224" s="19">
        <v>1237.3599999999999</v>
      </c>
      <c r="F224" s="19">
        <v>1250.46</v>
      </c>
      <c r="G224" s="19">
        <f>$B224*'Allergan Payments'!E$24</f>
        <v>1191.3809245406915</v>
      </c>
      <c r="H224" s="19">
        <f>$B224*'Allergan Payments'!F$24</f>
        <v>1191.3809245406912</v>
      </c>
      <c r="I224" s="19">
        <f>$B224*'Allergan Payments'!G$24</f>
        <v>1191.3809245870439</v>
      </c>
      <c r="J224" s="19">
        <f>$B224*'Allergan Payments'!H$24</f>
        <v>1191.3809245870439</v>
      </c>
      <c r="K224" s="19">
        <f>$B224*'Allergan Payments'!I$24</f>
        <v>1191.3809245870439</v>
      </c>
      <c r="L224" s="39" t="s">
        <v>346</v>
      </c>
      <c r="M224" s="7">
        <f t="shared" si="13"/>
        <v>8444.7246228425138</v>
      </c>
    </row>
    <row r="225" spans="1:13" x14ac:dyDescent="0.35">
      <c r="A225" s="3" t="s">
        <v>34</v>
      </c>
      <c r="B225" s="16">
        <v>2.3853655851105939E-4</v>
      </c>
      <c r="C225" s="8" t="s">
        <v>248</v>
      </c>
      <c r="D225" s="33" t="str">
        <f t="shared" si="12"/>
        <v>No</v>
      </c>
      <c r="E225" s="19">
        <v>1023.46</v>
      </c>
      <c r="F225" s="19">
        <v>1034.29</v>
      </c>
      <c r="G225" s="19">
        <f>$B225*'Allergan Payments'!E$24</f>
        <v>985.42648265190815</v>
      </c>
      <c r="H225" s="19">
        <f>$B225*'Allergan Payments'!F$24</f>
        <v>985.42648265190803</v>
      </c>
      <c r="I225" s="19">
        <f>$B225*'Allergan Payments'!G$24</f>
        <v>985.42648269024767</v>
      </c>
      <c r="J225" s="19">
        <f>$B225*'Allergan Payments'!H$24</f>
        <v>985.42648269024767</v>
      </c>
      <c r="K225" s="19">
        <f>$B225*'Allergan Payments'!I$24</f>
        <v>985.42648269024755</v>
      </c>
      <c r="L225" s="39" t="s">
        <v>346</v>
      </c>
      <c r="M225" s="7">
        <f t="shared" si="13"/>
        <v>6984.8824133745584</v>
      </c>
    </row>
    <row r="226" spans="1:13" x14ac:dyDescent="0.35">
      <c r="A226" s="3" t="s">
        <v>34</v>
      </c>
      <c r="B226" s="16">
        <v>4.0386057204984545E-4</v>
      </c>
      <c r="C226" s="8" t="s">
        <v>249</v>
      </c>
      <c r="D226" s="33" t="str">
        <f t="shared" si="12"/>
        <v>No</v>
      </c>
      <c r="E226" s="19">
        <v>1732.79</v>
      </c>
      <c r="F226" s="19">
        <v>1751.13</v>
      </c>
      <c r="G226" s="19">
        <f>$B226*'Allergan Payments'!E$24</f>
        <v>1668.4021329100178</v>
      </c>
      <c r="H226" s="19">
        <f>$B226*'Allergan Payments'!F$24</f>
        <v>1668.4021329100176</v>
      </c>
      <c r="I226" s="19">
        <f>$B226*'Allergan Payments'!G$24</f>
        <v>1668.4021329749296</v>
      </c>
      <c r="J226" s="19">
        <f>$B226*'Allergan Payments'!H$24</f>
        <v>1668.4021329749296</v>
      </c>
      <c r="K226" s="19">
        <f>$B226*'Allergan Payments'!I$24</f>
        <v>1668.4021329749294</v>
      </c>
      <c r="L226" s="39" t="s">
        <v>346</v>
      </c>
      <c r="M226" s="7">
        <f t="shared" si="13"/>
        <v>11825.930664744825</v>
      </c>
    </row>
    <row r="227" spans="1:13" x14ac:dyDescent="0.35">
      <c r="A227" s="3" t="s">
        <v>22</v>
      </c>
      <c r="B227" s="16">
        <v>1.0430545820800002E-3</v>
      </c>
      <c r="C227" s="8" t="s">
        <v>250</v>
      </c>
      <c r="D227" s="33" t="str">
        <f t="shared" si="12"/>
        <v>No</v>
      </c>
      <c r="E227" s="19">
        <v>4475.29</v>
      </c>
      <c r="F227" s="19">
        <v>4522.67</v>
      </c>
      <c r="G227" s="19">
        <f>$B227*'Allergan Payments'!E$24</f>
        <v>4308.9982284011012</v>
      </c>
      <c r="H227" s="19">
        <f>$B227*'Allergan Payments'!F$24</f>
        <v>4308.9982284011012</v>
      </c>
      <c r="I227" s="19">
        <f>$B227*'Allergan Payments'!G$24</f>
        <v>4308.9982285687493</v>
      </c>
      <c r="J227" s="19">
        <f>$B227*'Allergan Payments'!H$24</f>
        <v>4308.9982285687493</v>
      </c>
      <c r="K227" s="19">
        <f>$B227*'Allergan Payments'!I$24</f>
        <v>4308.9982285687493</v>
      </c>
      <c r="L227" s="39" t="s">
        <v>346</v>
      </c>
      <c r="M227" s="7">
        <f t="shared" si="13"/>
        <v>30542.951142508457</v>
      </c>
    </row>
    <row r="228" spans="1:13" x14ac:dyDescent="0.35">
      <c r="A228" s="3" t="s">
        <v>251</v>
      </c>
      <c r="B228" s="16">
        <v>4.3018366798400001E-3</v>
      </c>
      <c r="C228" s="8" t="s">
        <v>251</v>
      </c>
      <c r="D228" s="33" t="str">
        <f t="shared" si="12"/>
        <v>No</v>
      </c>
      <c r="E228" s="19">
        <v>18457.3</v>
      </c>
      <c r="F228" s="19">
        <v>18652.7</v>
      </c>
      <c r="G228" s="19">
        <f>$B228*'Allergan Payments'!E$24</f>
        <v>17771.463690171218</v>
      </c>
      <c r="H228" s="19">
        <f>$B228*'Allergan Payments'!F$24</f>
        <v>17771.463690171215</v>
      </c>
      <c r="I228" s="19">
        <f>$B228*'Allergan Payments'!G$24</f>
        <v>17771.463690862645</v>
      </c>
      <c r="J228" s="19">
        <f>$B228*'Allergan Payments'!H$24</f>
        <v>17771.463690862645</v>
      </c>
      <c r="K228" s="19">
        <f>$B228*'Allergan Payments'!I$24</f>
        <v>17771.463690862642</v>
      </c>
      <c r="L228" s="39" t="s">
        <v>346</v>
      </c>
      <c r="M228" s="7">
        <f t="shared" si="13"/>
        <v>125967.31845293037</v>
      </c>
    </row>
    <row r="229" spans="1:13" x14ac:dyDescent="0.35">
      <c r="A229" s="3" t="s">
        <v>75</v>
      </c>
      <c r="B229" s="16">
        <v>2.5535928015214338E-3</v>
      </c>
      <c r="C229" s="8" t="s">
        <v>252</v>
      </c>
      <c r="D229" s="33" t="str">
        <f t="shared" si="12"/>
        <v>No</v>
      </c>
      <c r="E229" s="19">
        <v>10956.35</v>
      </c>
      <c r="F229" s="19">
        <v>11072.34</v>
      </c>
      <c r="G229" s="19">
        <f>$B229*'Allergan Payments'!E$24</f>
        <v>10549.233996816596</v>
      </c>
      <c r="H229" s="19">
        <f>$B229*'Allergan Payments'!F$24</f>
        <v>10549.233996816594</v>
      </c>
      <c r="I229" s="19">
        <f>$B229*'Allergan Payments'!G$24</f>
        <v>10549.233997227029</v>
      </c>
      <c r="J229" s="19">
        <f>$B229*'Allergan Payments'!H$24</f>
        <v>10549.233997227029</v>
      </c>
      <c r="K229" s="19">
        <f>$B229*'Allergan Payments'!I$24</f>
        <v>10549.233997227029</v>
      </c>
      <c r="L229" s="39" t="s">
        <v>346</v>
      </c>
      <c r="M229" s="7">
        <f t="shared" si="13"/>
        <v>74774.85998531428</v>
      </c>
    </row>
    <row r="230" spans="1:13" x14ac:dyDescent="0.35">
      <c r="A230" s="3" t="s">
        <v>34</v>
      </c>
      <c r="B230" s="16">
        <v>1.5512635402572228E-3</v>
      </c>
      <c r="C230" s="8" t="s">
        <v>253</v>
      </c>
      <c r="D230" s="33" t="str">
        <f t="shared" si="12"/>
        <v>No</v>
      </c>
      <c r="E230" s="19">
        <v>6655.8</v>
      </c>
      <c r="F230" s="19">
        <v>6726.26</v>
      </c>
      <c r="G230" s="19">
        <f>$B230*'Allergan Payments'!E$24</f>
        <v>6408.4775251377159</v>
      </c>
      <c r="H230" s="19">
        <f>$B230*'Allergan Payments'!F$24</f>
        <v>6408.477525137715</v>
      </c>
      <c r="I230" s="19">
        <f>$B230*'Allergan Payments'!G$24</f>
        <v>6408.4775253870475</v>
      </c>
      <c r="J230" s="19">
        <f>$B230*'Allergan Payments'!H$24</f>
        <v>6408.4775253870475</v>
      </c>
      <c r="K230" s="19">
        <f>$B230*'Allergan Payments'!I$24</f>
        <v>6408.4775253870466</v>
      </c>
      <c r="L230" s="39" t="s">
        <v>346</v>
      </c>
      <c r="M230" s="7">
        <f t="shared" si="13"/>
        <v>45424.447626436573</v>
      </c>
    </row>
    <row r="231" spans="1:13" x14ac:dyDescent="0.35">
      <c r="A231" s="3" t="s">
        <v>254</v>
      </c>
      <c r="B231" s="16">
        <v>4.1352700239291102E-4</v>
      </c>
      <c r="C231" s="8" t="s">
        <v>255</v>
      </c>
      <c r="D231" s="33" t="str">
        <f t="shared" si="12"/>
        <v>No</v>
      </c>
      <c r="E231" s="19">
        <v>1774.26</v>
      </c>
      <c r="F231" s="19">
        <v>1793.05</v>
      </c>
      <c r="G231" s="19">
        <f>$B231*'Allergan Payments'!E$24</f>
        <v>1708.3354517783084</v>
      </c>
      <c r="H231" s="19">
        <f>$B231*'Allergan Payments'!F$24</f>
        <v>1708.3354517783082</v>
      </c>
      <c r="I231" s="19">
        <f>$B231*'Allergan Payments'!G$24</f>
        <v>1708.3354518447738</v>
      </c>
      <c r="J231" s="19">
        <f>$B231*'Allergan Payments'!H$24</f>
        <v>1708.3354518447738</v>
      </c>
      <c r="K231" s="19">
        <f>$B231*'Allergan Payments'!I$24</f>
        <v>1708.3354518447736</v>
      </c>
      <c r="L231" s="39" t="s">
        <v>346</v>
      </c>
      <c r="M231" s="7">
        <f t="shared" si="13"/>
        <v>12108.987259090938</v>
      </c>
    </row>
    <row r="232" spans="1:13" x14ac:dyDescent="0.35">
      <c r="A232" s="3" t="s">
        <v>254</v>
      </c>
      <c r="B232" s="16">
        <v>2.5740509013613654E-3</v>
      </c>
      <c r="C232" s="8" t="s">
        <v>256</v>
      </c>
      <c r="D232" s="33" t="str">
        <f t="shared" si="12"/>
        <v>No</v>
      </c>
      <c r="E232" s="19">
        <v>11044.13</v>
      </c>
      <c r="F232" s="19">
        <v>11161.05</v>
      </c>
      <c r="G232" s="19">
        <f>$B232*'Allergan Payments'!E$24</f>
        <v>10633.749148258552</v>
      </c>
      <c r="H232" s="19">
        <f>$B232*'Allergan Payments'!F$24</f>
        <v>10633.74914825855</v>
      </c>
      <c r="I232" s="19">
        <f>$B232*'Allergan Payments'!G$24</f>
        <v>10633.749148672274</v>
      </c>
      <c r="J232" s="19">
        <f>$B232*'Allergan Payments'!H$24</f>
        <v>10633.749148672274</v>
      </c>
      <c r="K232" s="19">
        <f>$B232*'Allergan Payments'!I$24</f>
        <v>10633.749148672274</v>
      </c>
      <c r="L232" s="39" t="s">
        <v>346</v>
      </c>
      <c r="M232" s="7">
        <f t="shared" si="13"/>
        <v>75373.925742533916</v>
      </c>
    </row>
    <row r="233" spans="1:13" x14ac:dyDescent="0.35">
      <c r="A233" s="3" t="s">
        <v>254</v>
      </c>
      <c r="B233" s="16">
        <v>1.8052764385600002E-2</v>
      </c>
      <c r="C233" s="8" t="s">
        <v>254</v>
      </c>
      <c r="D233" s="33" t="str">
        <f t="shared" si="12"/>
        <v>No</v>
      </c>
      <c r="E233" s="19">
        <v>77456.539999999994</v>
      </c>
      <c r="F233" s="19">
        <v>78276.52</v>
      </c>
      <c r="G233" s="19">
        <f>$B233*'Allergan Payments'!E$24</f>
        <v>74578.38841009629</v>
      </c>
      <c r="H233" s="19">
        <f>$B233*'Allergan Payments'!F$24</f>
        <v>74578.388410096275</v>
      </c>
      <c r="I233" s="19">
        <f>$B233*'Allergan Payments'!G$24</f>
        <v>74578.388412997869</v>
      </c>
      <c r="J233" s="19">
        <f>$B233*'Allergan Payments'!H$24</f>
        <v>74578.388412997869</v>
      </c>
      <c r="K233" s="19">
        <f>$B233*'Allergan Payments'!I$24</f>
        <v>74578.388412997869</v>
      </c>
      <c r="L233" s="39" t="s">
        <v>346</v>
      </c>
      <c r="M233" s="7">
        <f t="shared" si="13"/>
        <v>528625.00205918623</v>
      </c>
    </row>
    <row r="234" spans="1:13" x14ac:dyDescent="0.35">
      <c r="A234" s="3" t="s">
        <v>257</v>
      </c>
      <c r="B234" s="16">
        <v>3.8845852225600007E-3</v>
      </c>
      <c r="C234" s="8" t="s">
        <v>257</v>
      </c>
      <c r="D234" s="33" t="str">
        <f t="shared" si="12"/>
        <v>No</v>
      </c>
      <c r="E234" s="19">
        <v>16667.060000000001</v>
      </c>
      <c r="F234" s="19">
        <v>16843.5</v>
      </c>
      <c r="G234" s="19">
        <f>$B234*'Allergan Payments'!E$24</f>
        <v>16047.74201624697</v>
      </c>
      <c r="H234" s="19">
        <f>$B234*'Allergan Payments'!F$24</f>
        <v>16047.742016246968</v>
      </c>
      <c r="I234" s="19">
        <f>$B234*'Allergan Payments'!G$24</f>
        <v>16047.742016871331</v>
      </c>
      <c r="J234" s="19">
        <f>$B234*'Allergan Payments'!H$24</f>
        <v>16047.742016871331</v>
      </c>
      <c r="K234" s="19">
        <f>$B234*'Allergan Payments'!I$24</f>
        <v>16047.742016871329</v>
      </c>
      <c r="L234" s="39" t="s">
        <v>346</v>
      </c>
      <c r="M234" s="7">
        <f t="shared" si="13"/>
        <v>113749.27008310793</v>
      </c>
    </row>
    <row r="235" spans="1:13" x14ac:dyDescent="0.35">
      <c r="A235" s="3" t="s">
        <v>77</v>
      </c>
      <c r="B235" s="16">
        <v>1.1028617297600002E-3</v>
      </c>
      <c r="C235" s="8" t="s">
        <v>258</v>
      </c>
      <c r="D235" s="33" t="str">
        <f t="shared" si="12"/>
        <v>No</v>
      </c>
      <c r="E235" s="19">
        <v>4731.8999999999996</v>
      </c>
      <c r="F235" s="19">
        <v>4781.99</v>
      </c>
      <c r="G235" s="19">
        <f>$B235*'Allergan Payments'!E$24</f>
        <v>4556.0695685077089</v>
      </c>
      <c r="H235" s="19">
        <f>$B235*'Allergan Payments'!F$24</f>
        <v>4556.069568507708</v>
      </c>
      <c r="I235" s="19">
        <f>$B235*'Allergan Payments'!G$24</f>
        <v>4556.0695686849695</v>
      </c>
      <c r="J235" s="19">
        <f>$B235*'Allergan Payments'!H$24</f>
        <v>4556.0695686849695</v>
      </c>
      <c r="K235" s="19">
        <f>$B235*'Allergan Payments'!I$24</f>
        <v>4556.0695686849695</v>
      </c>
      <c r="L235" s="39" t="s">
        <v>346</v>
      </c>
      <c r="M235" s="7">
        <f t="shared" si="13"/>
        <v>32294.237843070321</v>
      </c>
    </row>
    <row r="236" spans="1:13" x14ac:dyDescent="0.35">
      <c r="A236" s="3" t="s">
        <v>259</v>
      </c>
      <c r="B236" s="16">
        <v>4.7180115840645136E-4</v>
      </c>
      <c r="C236" s="8" t="s">
        <v>259</v>
      </c>
      <c r="D236" s="33" t="str">
        <f t="shared" si="12"/>
        <v>No</v>
      </c>
      <c r="E236" s="19">
        <v>2024.29</v>
      </c>
      <c r="F236" s="19">
        <v>2045.72</v>
      </c>
      <c r="G236" s="19">
        <f>$B236*'Allergan Payments'!E$24</f>
        <v>1949.0737979185255</v>
      </c>
      <c r="H236" s="19">
        <f>$B236*'Allergan Payments'!F$24</f>
        <v>1949.0737979185253</v>
      </c>
      <c r="I236" s="19">
        <f>$B236*'Allergan Payments'!G$24</f>
        <v>1949.0737979943572</v>
      </c>
      <c r="J236" s="19">
        <f>$B236*'Allergan Payments'!H$24</f>
        <v>1949.0737979943572</v>
      </c>
      <c r="K236" s="19">
        <f>$B236*'Allergan Payments'!I$24</f>
        <v>1949.0737979943569</v>
      </c>
      <c r="L236" s="39" t="s">
        <v>346</v>
      </c>
      <c r="M236" s="7">
        <f t="shared" si="13"/>
        <v>13815.378989820121</v>
      </c>
    </row>
    <row r="237" spans="1:13" x14ac:dyDescent="0.35">
      <c r="A237" s="3" t="s">
        <v>28</v>
      </c>
      <c r="B237" s="16">
        <v>3.0790140802788518E-5</v>
      </c>
      <c r="C237" s="8" t="s">
        <v>260</v>
      </c>
      <c r="D237" s="33" t="str">
        <f t="shared" si="12"/>
        <v>Yes</v>
      </c>
      <c r="E237" s="19">
        <v>923.4</v>
      </c>
      <c r="F237" s="19">
        <v>0</v>
      </c>
      <c r="G237" s="52">
        <f>$B237*'Allergan Payments'!E$24</f>
        <v>127.19819695999409</v>
      </c>
      <c r="H237" s="52">
        <f>$B237*'Allergan Payments'!F$24</f>
        <v>127.19819695999408</v>
      </c>
      <c r="I237" s="52">
        <f>$B237*'Allergan Payments'!G$24</f>
        <v>127.19819696494294</v>
      </c>
      <c r="J237" s="52">
        <f>$B237*'Allergan Payments'!H$24</f>
        <v>127.19819696494294</v>
      </c>
      <c r="K237" s="52">
        <f>$B237*'Allergan Payments'!I$24</f>
        <v>127.19819696494292</v>
      </c>
      <c r="L237" s="39" t="s">
        <v>346</v>
      </c>
      <c r="M237" s="7">
        <f>E237</f>
        <v>923.4</v>
      </c>
    </row>
    <row r="238" spans="1:13" x14ac:dyDescent="0.35">
      <c r="A238" s="3" t="s">
        <v>75</v>
      </c>
      <c r="B238" s="16">
        <v>3.0268607449793141E-3</v>
      </c>
      <c r="C238" s="8" t="s">
        <v>261</v>
      </c>
      <c r="D238" s="33" t="str">
        <f t="shared" si="12"/>
        <v>No</v>
      </c>
      <c r="E238" s="19">
        <v>12986.94</v>
      </c>
      <c r="F238" s="19">
        <v>13124.42</v>
      </c>
      <c r="G238" s="19">
        <f>$B238*'Allergan Payments'!E$24</f>
        <v>12504.36728030437</v>
      </c>
      <c r="H238" s="19">
        <f>$B238*'Allergan Payments'!F$24</f>
        <v>12504.367280304368</v>
      </c>
      <c r="I238" s="19">
        <f>$B238*'Allergan Payments'!G$24</f>
        <v>12504.367280790872</v>
      </c>
      <c r="J238" s="19">
        <f>$B238*'Allergan Payments'!H$24</f>
        <v>12504.367280790872</v>
      </c>
      <c r="K238" s="19">
        <f>$B238*'Allergan Payments'!I$24</f>
        <v>12504.36728079087</v>
      </c>
      <c r="L238" s="39" t="s">
        <v>346</v>
      </c>
      <c r="M238" s="7">
        <f t="shared" si="13"/>
        <v>88633.196402981353</v>
      </c>
    </row>
    <row r="239" spans="1:13" x14ac:dyDescent="0.35">
      <c r="A239" s="3" t="s">
        <v>234</v>
      </c>
      <c r="B239" s="16">
        <v>8.1260410302400003E-3</v>
      </c>
      <c r="C239" s="8" t="s">
        <v>234</v>
      </c>
      <c r="D239" s="33" t="str">
        <f t="shared" si="12"/>
        <v>No</v>
      </c>
      <c r="E239" s="19">
        <v>34865.300000000003</v>
      </c>
      <c r="F239" s="19">
        <v>35234.39</v>
      </c>
      <c r="G239" s="19">
        <f>$B239*'Allergan Payments'!E$24</f>
        <v>33569.764233616334</v>
      </c>
      <c r="H239" s="19">
        <f>$B239*'Allergan Payments'!F$24</f>
        <v>33569.764233616334</v>
      </c>
      <c r="I239" s="19">
        <f>$B239*'Allergan Payments'!G$24</f>
        <v>33569.764234922419</v>
      </c>
      <c r="J239" s="19">
        <f>$B239*'Allergan Payments'!H$24</f>
        <v>33569.764234922419</v>
      </c>
      <c r="K239" s="19">
        <f>$B239*'Allergan Payments'!I$24</f>
        <v>33569.764234922412</v>
      </c>
      <c r="L239" s="39" t="s">
        <v>346</v>
      </c>
      <c r="M239" s="7">
        <f t="shared" si="13"/>
        <v>237948.51117199991</v>
      </c>
    </row>
    <row r="240" spans="1:13" x14ac:dyDescent="0.35">
      <c r="A240" s="3" t="s">
        <v>34</v>
      </c>
      <c r="B240" s="16">
        <v>1.547383996257214E-4</v>
      </c>
      <c r="C240" s="8" t="s">
        <v>262</v>
      </c>
      <c r="D240" s="33" t="str">
        <f t="shared" si="12"/>
        <v>No</v>
      </c>
      <c r="E240" s="19">
        <v>663.91</v>
      </c>
      <c r="F240" s="19">
        <v>670.94</v>
      </c>
      <c r="G240" s="19">
        <f>$B240*'Allergan Payments'!E$24</f>
        <v>639.24506090872569</v>
      </c>
      <c r="H240" s="19">
        <f>$B240*'Allergan Payments'!F$24</f>
        <v>639.24506090872569</v>
      </c>
      <c r="I240" s="19">
        <f>$B240*'Allergan Payments'!G$24</f>
        <v>639.24506093359651</v>
      </c>
      <c r="J240" s="19">
        <f>$B240*'Allergan Payments'!H$24</f>
        <v>639.24506093359651</v>
      </c>
      <c r="K240" s="19">
        <f>$B240*'Allergan Payments'!I$24</f>
        <v>639.24506093359651</v>
      </c>
      <c r="L240" s="39" t="s">
        <v>346</v>
      </c>
      <c r="M240" s="7">
        <f t="shared" si="13"/>
        <v>4531.0753046182408</v>
      </c>
    </row>
    <row r="241" spans="1:13" x14ac:dyDescent="0.35">
      <c r="A241" s="3" t="s">
        <v>34</v>
      </c>
      <c r="B241" s="16">
        <v>2.3508376415386128E-3</v>
      </c>
      <c r="C241" s="8" t="s">
        <v>263</v>
      </c>
      <c r="D241" s="33" t="str">
        <f t="shared" si="12"/>
        <v>No</v>
      </c>
      <c r="E241" s="19">
        <v>10086.42</v>
      </c>
      <c r="F241" s="19">
        <v>10193.200000000001</v>
      </c>
      <c r="G241" s="19">
        <f>$B241*'Allergan Payments'!E$24</f>
        <v>9711.6252655238077</v>
      </c>
      <c r="H241" s="19">
        <f>$B241*'Allergan Payments'!F$24</f>
        <v>9711.6252655238059</v>
      </c>
      <c r="I241" s="19">
        <f>$B241*'Allergan Payments'!G$24</f>
        <v>9711.6252659016536</v>
      </c>
      <c r="J241" s="19">
        <f>$B241*'Allergan Payments'!H$24</f>
        <v>9711.6252659016536</v>
      </c>
      <c r="K241" s="19">
        <f>$B241*'Allergan Payments'!I$24</f>
        <v>9711.6252659016518</v>
      </c>
      <c r="L241" s="39" t="s">
        <v>346</v>
      </c>
      <c r="M241" s="7">
        <f t="shared" si="13"/>
        <v>68837.746328752575</v>
      </c>
    </row>
    <row r="242" spans="1:13" x14ac:dyDescent="0.35">
      <c r="A242" s="3" t="s">
        <v>34</v>
      </c>
      <c r="B242" s="16">
        <v>6.650644637706374E-7</v>
      </c>
      <c r="C242" s="8" t="s">
        <v>264</v>
      </c>
      <c r="D242" s="33" t="str">
        <f t="shared" si="12"/>
        <v>Yes</v>
      </c>
      <c r="E242" s="19">
        <v>19.95</v>
      </c>
      <c r="F242" s="19">
        <v>0</v>
      </c>
      <c r="G242" s="52">
        <f>$B242*'Allergan Payments'!E$24</f>
        <v>2.7474704060505313</v>
      </c>
      <c r="H242" s="52">
        <f>$B242*'Allergan Payments'!F$24</f>
        <v>2.7474704060505308</v>
      </c>
      <c r="I242" s="52">
        <f>$B242*'Allergan Payments'!G$24</f>
        <v>2.7474704061574258</v>
      </c>
      <c r="J242" s="52">
        <f>$B242*'Allergan Payments'!H$24</f>
        <v>2.7474704061574258</v>
      </c>
      <c r="K242" s="52">
        <f>$B242*'Allergan Payments'!I$24</f>
        <v>2.7474704061574253</v>
      </c>
      <c r="L242" s="39" t="s">
        <v>346</v>
      </c>
      <c r="M242" s="7">
        <f>E242</f>
        <v>19.95</v>
      </c>
    </row>
    <row r="243" spans="1:13" x14ac:dyDescent="0.35">
      <c r="A243" s="3" t="s">
        <v>22</v>
      </c>
      <c r="B243" s="16">
        <v>5.308730362373128E-4</v>
      </c>
      <c r="C243" s="8" t="s">
        <v>265</v>
      </c>
      <c r="D243" s="33" t="str">
        <f t="shared" ref="D243:D263" si="14">IF(B243&lt;0.000083,"Yes","No")</f>
        <v>No</v>
      </c>
      <c r="E243" s="19">
        <v>2277.7399999999998</v>
      </c>
      <c r="F243" s="19">
        <v>2301.86</v>
      </c>
      <c r="G243" s="19">
        <f>$B243*'Allergan Payments'!E$24</f>
        <v>2193.1076397659176</v>
      </c>
      <c r="H243" s="19">
        <f>$B243*'Allergan Payments'!F$24</f>
        <v>2193.1076397659172</v>
      </c>
      <c r="I243" s="19">
        <f>$B243*'Allergan Payments'!G$24</f>
        <v>2193.1076398512437</v>
      </c>
      <c r="J243" s="19">
        <f>$B243*'Allergan Payments'!H$24</f>
        <v>2193.1076398512437</v>
      </c>
      <c r="K243" s="19">
        <f>$B243*'Allergan Payments'!I$24</f>
        <v>2193.1076398512437</v>
      </c>
      <c r="L243" s="39" t="s">
        <v>346</v>
      </c>
      <c r="M243" s="7">
        <f t="shared" si="13"/>
        <v>15545.138199085564</v>
      </c>
    </row>
    <row r="244" spans="1:13" x14ac:dyDescent="0.35">
      <c r="A244" s="3" t="s">
        <v>24</v>
      </c>
      <c r="B244" s="16">
        <v>6.2120900177538814E-5</v>
      </c>
      <c r="C244" s="8" t="s">
        <v>266</v>
      </c>
      <c r="D244" s="33" t="str">
        <f t="shared" si="14"/>
        <v>Yes</v>
      </c>
      <c r="E244" s="19">
        <v>1863</v>
      </c>
      <c r="F244" s="19">
        <v>0</v>
      </c>
      <c r="G244" s="52">
        <f>$B244*'Allergan Payments'!E$24</f>
        <v>256.62976167355163</v>
      </c>
      <c r="H244" s="52">
        <f>$B244*'Allergan Payments'!F$24</f>
        <v>256.62976167355157</v>
      </c>
      <c r="I244" s="52">
        <f>$B244*'Allergan Payments'!G$24</f>
        <v>256.62976168353617</v>
      </c>
      <c r="J244" s="52">
        <f>$B244*'Allergan Payments'!H$24</f>
        <v>256.62976168353617</v>
      </c>
      <c r="K244" s="52">
        <f>$B244*'Allergan Payments'!I$24</f>
        <v>256.62976168353617</v>
      </c>
      <c r="L244" s="39" t="s">
        <v>346</v>
      </c>
      <c r="M244" s="7">
        <f t="shared" ref="M244:M245" si="15">E244</f>
        <v>1863</v>
      </c>
    </row>
    <row r="245" spans="1:13" x14ac:dyDescent="0.35">
      <c r="A245" s="3" t="s">
        <v>34</v>
      </c>
      <c r="B245" s="16">
        <v>2.6713434479427391E-5</v>
      </c>
      <c r="C245" s="8" t="s">
        <v>267</v>
      </c>
      <c r="D245" s="33" t="str">
        <f t="shared" si="14"/>
        <v>Yes</v>
      </c>
      <c r="E245" s="19">
        <v>801.14</v>
      </c>
      <c r="F245" s="19">
        <v>0</v>
      </c>
      <c r="G245" s="52">
        <f>$B245*'Allergan Payments'!E$24</f>
        <v>110.3567769356992</v>
      </c>
      <c r="H245" s="52">
        <f>$B245*'Allergan Payments'!F$24</f>
        <v>110.35677693569919</v>
      </c>
      <c r="I245" s="52">
        <f>$B245*'Allergan Payments'!G$24</f>
        <v>110.3567769399928</v>
      </c>
      <c r="J245" s="52">
        <f>$B245*'Allergan Payments'!H$24</f>
        <v>110.3567769399928</v>
      </c>
      <c r="K245" s="52">
        <f>$B245*'Allergan Payments'!I$24</f>
        <v>110.35677693999278</v>
      </c>
      <c r="L245" s="39" t="s">
        <v>346</v>
      </c>
      <c r="M245" s="7">
        <f t="shared" si="15"/>
        <v>801.14</v>
      </c>
    </row>
    <row r="246" spans="1:13" x14ac:dyDescent="0.35">
      <c r="A246" s="3" t="s">
        <v>121</v>
      </c>
      <c r="B246" s="16">
        <v>2.2355271010240003E-2</v>
      </c>
      <c r="C246" s="8" t="s">
        <v>121</v>
      </c>
      <c r="D246" s="33" t="str">
        <f t="shared" si="14"/>
        <v>No</v>
      </c>
      <c r="E246" s="19">
        <v>95916.72</v>
      </c>
      <c r="F246" s="19">
        <v>96932.13</v>
      </c>
      <c r="G246" s="19">
        <f>$B246*'Allergan Payments'!E$24</f>
        <v>92352.619731996398</v>
      </c>
      <c r="H246" s="19">
        <f>$B246*'Allergan Payments'!F$24</f>
        <v>92352.619731996383</v>
      </c>
      <c r="I246" s="19">
        <f>$B246*'Allergan Payments'!G$24</f>
        <v>92352.619735589513</v>
      </c>
      <c r="J246" s="19">
        <f>$B246*'Allergan Payments'!H$24</f>
        <v>92352.619735589513</v>
      </c>
      <c r="K246" s="19">
        <f>$B246*'Allergan Payments'!I$24</f>
        <v>92352.619735589498</v>
      </c>
      <c r="L246" s="39" t="s">
        <v>346</v>
      </c>
      <c r="M246" s="7">
        <f t="shared" si="13"/>
        <v>654611.94867076131</v>
      </c>
    </row>
    <row r="247" spans="1:13" x14ac:dyDescent="0.35">
      <c r="A247" s="3" t="s">
        <v>268</v>
      </c>
      <c r="B247" s="16">
        <v>2.5489421581211444E-3</v>
      </c>
      <c r="C247" s="8" t="s">
        <v>268</v>
      </c>
      <c r="D247" s="33" t="str">
        <f t="shared" si="14"/>
        <v>No</v>
      </c>
      <c r="E247" s="19">
        <v>10936.4</v>
      </c>
      <c r="F247" s="19">
        <v>11052.18</v>
      </c>
      <c r="G247" s="19">
        <f>$B247*'Allergan Payments'!E$24</f>
        <v>10530.021565830664</v>
      </c>
      <c r="H247" s="19">
        <f>$B247*'Allergan Payments'!F$24</f>
        <v>10530.021565830662</v>
      </c>
      <c r="I247" s="19">
        <f>$B247*'Allergan Payments'!G$24</f>
        <v>10530.02156624035</v>
      </c>
      <c r="J247" s="19">
        <f>$B247*'Allergan Payments'!H$24</f>
        <v>10530.02156624035</v>
      </c>
      <c r="K247" s="19">
        <f>$B247*'Allergan Payments'!I$24</f>
        <v>10530.02156624035</v>
      </c>
      <c r="L247" s="39" t="s">
        <v>346</v>
      </c>
      <c r="M247" s="7">
        <f t="shared" si="13"/>
        <v>74638.687830382376</v>
      </c>
    </row>
    <row r="248" spans="1:13" x14ac:dyDescent="0.35">
      <c r="A248" s="3" t="s">
        <v>75</v>
      </c>
      <c r="B248" s="16">
        <v>2.0311040435780645E-3</v>
      </c>
      <c r="C248" s="8" t="s">
        <v>269</v>
      </c>
      <c r="D248" s="33" t="str">
        <f t="shared" si="14"/>
        <v>No</v>
      </c>
      <c r="E248" s="19">
        <v>8714.58</v>
      </c>
      <c r="F248" s="19">
        <v>8806.84</v>
      </c>
      <c r="G248" s="19">
        <f>$B248*'Allergan Payments'!E$24</f>
        <v>8390.7629340196218</v>
      </c>
      <c r="H248" s="19">
        <f>$B248*'Allergan Payments'!F$24</f>
        <v>8390.7629340196218</v>
      </c>
      <c r="I248" s="19">
        <f>$B248*'Allergan Payments'!G$24</f>
        <v>8390.7629343460776</v>
      </c>
      <c r="J248" s="19">
        <f>$B248*'Allergan Payments'!H$24</f>
        <v>8390.7629343460776</v>
      </c>
      <c r="K248" s="19">
        <f>$B248*'Allergan Payments'!I$24</f>
        <v>8390.7629343460776</v>
      </c>
      <c r="L248" s="39" t="s">
        <v>346</v>
      </c>
      <c r="M248" s="7">
        <f t="shared" si="13"/>
        <v>59475.23467107748</v>
      </c>
    </row>
    <row r="249" spans="1:13" x14ac:dyDescent="0.35">
      <c r="A249" s="3" t="s">
        <v>75</v>
      </c>
      <c r="B249" s="16">
        <v>1.053645978224E-2</v>
      </c>
      <c r="C249" s="8" t="s">
        <v>271</v>
      </c>
      <c r="D249" s="33" t="str">
        <f t="shared" si="14"/>
        <v>No</v>
      </c>
      <c r="E249" s="19">
        <v>45207.35</v>
      </c>
      <c r="F249" s="19">
        <v>45685.93</v>
      </c>
      <c r="G249" s="19">
        <f>$B249*'Allergan Payments'!E$24</f>
        <v>43527.527049211894</v>
      </c>
      <c r="H249" s="19">
        <f>$B249*'Allergan Payments'!F$24</f>
        <v>43527.527049211887</v>
      </c>
      <c r="I249" s="19">
        <f>$B249*'Allergan Payments'!G$24</f>
        <v>43527.527050905403</v>
      </c>
      <c r="J249" s="19">
        <f>$B249*'Allergan Payments'!H$24</f>
        <v>43527.527050905403</v>
      </c>
      <c r="K249" s="19">
        <f>$B249*'Allergan Payments'!I$24</f>
        <v>43527.527050905395</v>
      </c>
      <c r="L249" s="39" t="s">
        <v>346</v>
      </c>
      <c r="M249" s="7">
        <f t="shared" si="13"/>
        <v>308530.91525113996</v>
      </c>
    </row>
    <row r="250" spans="1:13" x14ac:dyDescent="0.35">
      <c r="A250" s="3" t="s">
        <v>268</v>
      </c>
      <c r="B250" s="16">
        <v>3.5811995813821466E-4</v>
      </c>
      <c r="C250" s="8" t="s">
        <v>272</v>
      </c>
      <c r="D250" s="33" t="str">
        <f t="shared" si="14"/>
        <v>No</v>
      </c>
      <c r="E250" s="19">
        <v>1536.54</v>
      </c>
      <c r="F250" s="19">
        <v>1552.8</v>
      </c>
      <c r="G250" s="19">
        <f>$B250*'Allergan Payments'!E$24</f>
        <v>1479.4415284532904</v>
      </c>
      <c r="H250" s="19">
        <f>$B250*'Allergan Payments'!F$24</f>
        <v>1479.4415284532904</v>
      </c>
      <c r="I250" s="19">
        <f>$B250*'Allergan Payments'!G$24</f>
        <v>1479.4415285108505</v>
      </c>
      <c r="J250" s="19">
        <f>$B250*'Allergan Payments'!H$24</f>
        <v>1479.4415285108505</v>
      </c>
      <c r="K250" s="19">
        <f>$B250*'Allergan Payments'!I$24</f>
        <v>1479.4415285108503</v>
      </c>
      <c r="L250" s="39" t="s">
        <v>346</v>
      </c>
      <c r="M250" s="7">
        <f t="shared" si="13"/>
        <v>10486.547642439133</v>
      </c>
    </row>
    <row r="251" spans="1:13" x14ac:dyDescent="0.35">
      <c r="A251" s="3" t="s">
        <v>55</v>
      </c>
      <c r="B251" s="16">
        <v>8.7972621758440581E-5</v>
      </c>
      <c r="C251" s="8" t="s">
        <v>273</v>
      </c>
      <c r="D251" s="33" t="str">
        <f t="shared" si="14"/>
        <v>No</v>
      </c>
      <c r="E251" s="19">
        <v>377.45</v>
      </c>
      <c r="F251" s="19">
        <v>381.45</v>
      </c>
      <c r="G251" s="19">
        <f>$B251*'Allergan Payments'!E$24</f>
        <v>363.42668717201076</v>
      </c>
      <c r="H251" s="19">
        <f>$B251*'Allergan Payments'!F$24</f>
        <v>363.42668717201076</v>
      </c>
      <c r="I251" s="19">
        <f>$B251*'Allergan Payments'!G$24</f>
        <v>363.42668718615045</v>
      </c>
      <c r="J251" s="19">
        <f>$B251*'Allergan Payments'!H$24</f>
        <v>363.42668718615045</v>
      </c>
      <c r="K251" s="19">
        <f>$B251*'Allergan Payments'!I$24</f>
        <v>363.42668718615039</v>
      </c>
      <c r="L251" s="39" t="s">
        <v>346</v>
      </c>
      <c r="M251" s="7">
        <f t="shared" si="13"/>
        <v>2576.0334359024728</v>
      </c>
    </row>
    <row r="252" spans="1:13" x14ac:dyDescent="0.35">
      <c r="A252" s="3" t="s">
        <v>28</v>
      </c>
      <c r="B252" s="16">
        <v>7.2444420150405935E-5</v>
      </c>
      <c r="C252" s="8" t="s">
        <v>274</v>
      </c>
      <c r="D252" s="33" t="str">
        <f t="shared" si="14"/>
        <v>Yes</v>
      </c>
      <c r="E252" s="19">
        <v>2172.61</v>
      </c>
      <c r="F252" s="19">
        <v>0</v>
      </c>
      <c r="G252" s="52">
        <f>$B252*'Allergan Payments'!E$24</f>
        <v>299.27760584028761</v>
      </c>
      <c r="H252" s="52">
        <f>$B252*'Allergan Payments'!F$24</f>
        <v>299.27760584028761</v>
      </c>
      <c r="I252" s="52">
        <f>$B252*'Allergan Payments'!G$24</f>
        <v>299.27760585193147</v>
      </c>
      <c r="J252" s="52">
        <f>$B252*'Allergan Payments'!H$24</f>
        <v>299.27760585193147</v>
      </c>
      <c r="K252" s="52">
        <f>$B252*'Allergan Payments'!I$24</f>
        <v>299.27760585193147</v>
      </c>
      <c r="L252" s="39" t="s">
        <v>346</v>
      </c>
      <c r="M252" s="7">
        <f>E252</f>
        <v>2172.61</v>
      </c>
    </row>
    <row r="253" spans="1:13" x14ac:dyDescent="0.35">
      <c r="A253" s="3" t="s">
        <v>22</v>
      </c>
      <c r="B253" s="16">
        <v>2.2496241948760823E-3</v>
      </c>
      <c r="C253" s="8" t="s">
        <v>275</v>
      </c>
      <c r="D253" s="33" t="str">
        <f t="shared" si="14"/>
        <v>No</v>
      </c>
      <c r="E253" s="19">
        <v>9652.16</v>
      </c>
      <c r="F253" s="19">
        <v>9754.34</v>
      </c>
      <c r="G253" s="19">
        <f>$B253*'Allergan Payments'!E$24</f>
        <v>9293.498956649817</v>
      </c>
      <c r="H253" s="19">
        <f>$B253*'Allergan Payments'!F$24</f>
        <v>9293.498956649817</v>
      </c>
      <c r="I253" s="19">
        <f>$B253*'Allergan Payments'!G$24</f>
        <v>9293.4989570113958</v>
      </c>
      <c r="J253" s="19">
        <f>$B253*'Allergan Payments'!H$24</f>
        <v>9293.4989570113958</v>
      </c>
      <c r="K253" s="19">
        <f>$B253*'Allergan Payments'!I$24</f>
        <v>9293.4989570113939</v>
      </c>
      <c r="L253" s="39" t="s">
        <v>346</v>
      </c>
      <c r="M253" s="7">
        <f t="shared" si="13"/>
        <v>65873.99478433383</v>
      </c>
    </row>
    <row r="254" spans="1:13" x14ac:dyDescent="0.35">
      <c r="A254" s="3" t="s">
        <v>83</v>
      </c>
      <c r="B254" s="16">
        <v>3.1110081270188996E-5</v>
      </c>
      <c r="C254" s="8" t="s">
        <v>276</v>
      </c>
      <c r="D254" s="33" t="str">
        <f t="shared" si="14"/>
        <v>Yes</v>
      </c>
      <c r="E254" s="19">
        <v>932.99</v>
      </c>
      <c r="F254" s="19">
        <v>0</v>
      </c>
      <c r="G254" s="52">
        <f>$B254*'Allergan Payments'!E$24</f>
        <v>128.51991389687126</v>
      </c>
      <c r="H254" s="52">
        <f>$B254*'Allergan Payments'!F$24</f>
        <v>128.51991389687126</v>
      </c>
      <c r="I254" s="52">
        <f>$B254*'Allergan Payments'!G$24</f>
        <v>128.51991390187155</v>
      </c>
      <c r="J254" s="52">
        <f>$B254*'Allergan Payments'!H$24</f>
        <v>128.51991390187155</v>
      </c>
      <c r="K254" s="52">
        <f>$B254*'Allergan Payments'!I$24</f>
        <v>128.51991390187152</v>
      </c>
      <c r="L254" s="39" t="s">
        <v>346</v>
      </c>
      <c r="M254" s="7">
        <f t="shared" ref="M254:M255" si="16">E254</f>
        <v>932.99</v>
      </c>
    </row>
    <row r="255" spans="1:13" x14ac:dyDescent="0.35">
      <c r="A255" s="3" t="s">
        <v>254</v>
      </c>
      <c r="B255" s="16">
        <v>7.5956312712067208E-5</v>
      </c>
      <c r="C255" s="8" t="s">
        <v>277</v>
      </c>
      <c r="D255" s="33" t="str">
        <f t="shared" si="14"/>
        <v>Yes</v>
      </c>
      <c r="E255" s="19">
        <v>2277.9299999999998</v>
      </c>
      <c r="F255" s="19">
        <v>0</v>
      </c>
      <c r="G255" s="52">
        <f>$B255*'Allergan Payments'!E$24</f>
        <v>313.78570454050771</v>
      </c>
      <c r="H255" s="52">
        <f>$B255*'Allergan Payments'!F$24</f>
        <v>313.78570454050765</v>
      </c>
      <c r="I255" s="52">
        <f>$B255*'Allergan Payments'!G$24</f>
        <v>313.78570455271603</v>
      </c>
      <c r="J255" s="52">
        <f>$B255*'Allergan Payments'!H$24</f>
        <v>313.78570455271603</v>
      </c>
      <c r="K255" s="52">
        <f>$B255*'Allergan Payments'!I$24</f>
        <v>313.78570455271597</v>
      </c>
      <c r="L255" s="39" t="s">
        <v>346</v>
      </c>
      <c r="M255" s="7">
        <f t="shared" si="16"/>
        <v>2277.9299999999998</v>
      </c>
    </row>
    <row r="256" spans="1:13" x14ac:dyDescent="0.35">
      <c r="A256" s="3" t="s">
        <v>278</v>
      </c>
      <c r="B256" s="16">
        <v>6.9474875120000001E-4</v>
      </c>
      <c r="C256" s="8" t="s">
        <v>279</v>
      </c>
      <c r="D256" s="33" t="str">
        <f t="shared" si="14"/>
        <v>No</v>
      </c>
      <c r="E256" s="19">
        <v>2980.86</v>
      </c>
      <c r="F256" s="19">
        <v>3012.42</v>
      </c>
      <c r="G256" s="19">
        <f>$B256*'Allergan Payments'!E$24</f>
        <v>2870.1001745612093</v>
      </c>
      <c r="H256" s="19">
        <f>$B256*'Allergan Payments'!F$24</f>
        <v>2870.1001745612089</v>
      </c>
      <c r="I256" s="19">
        <f>$B256*'Allergan Payments'!G$24</f>
        <v>2870.1001746728748</v>
      </c>
      <c r="J256" s="19">
        <f>$B256*'Allergan Payments'!H$24</f>
        <v>2870.1001746728748</v>
      </c>
      <c r="K256" s="19">
        <f>$B256*'Allergan Payments'!I$24</f>
        <v>2870.1001746728748</v>
      </c>
      <c r="L256" s="39" t="s">
        <v>346</v>
      </c>
      <c r="M256" s="7">
        <f t="shared" si="13"/>
        <v>20343.780873141044</v>
      </c>
    </row>
    <row r="257" spans="1:13" x14ac:dyDescent="0.35">
      <c r="A257" s="3" t="s">
        <v>22</v>
      </c>
      <c r="B257" s="16">
        <v>2.8792492159318973E-4</v>
      </c>
      <c r="C257" s="8" t="s">
        <v>280</v>
      </c>
      <c r="D257" s="33" t="str">
        <f t="shared" si="14"/>
        <v>No</v>
      </c>
      <c r="E257" s="19">
        <v>1235.3599999999999</v>
      </c>
      <c r="F257" s="19">
        <v>1248.44</v>
      </c>
      <c r="G257" s="19">
        <f>$B257*'Allergan Payments'!E$24</f>
        <v>1189.4564276622141</v>
      </c>
      <c r="H257" s="19">
        <f>$B257*'Allergan Payments'!F$24</f>
        <v>1189.4564276622139</v>
      </c>
      <c r="I257" s="19">
        <f>$B257*'Allergan Payments'!G$24</f>
        <v>1189.4564277084917</v>
      </c>
      <c r="J257" s="19">
        <f>$B257*'Allergan Payments'!H$24</f>
        <v>1189.4564277084917</v>
      </c>
      <c r="K257" s="19">
        <f>$B257*'Allergan Payments'!I$24</f>
        <v>1189.4564277084914</v>
      </c>
      <c r="L257" s="39" t="s">
        <v>346</v>
      </c>
      <c r="M257" s="7">
        <f t="shared" si="13"/>
        <v>8431.0821384499031</v>
      </c>
    </row>
    <row r="258" spans="1:13" x14ac:dyDescent="0.35">
      <c r="A258" s="3" t="s">
        <v>34</v>
      </c>
      <c r="B258" s="16">
        <v>1.4103252340808051E-3</v>
      </c>
      <c r="C258" s="8" t="s">
        <v>281</v>
      </c>
      <c r="D258" s="33" t="str">
        <f t="shared" si="14"/>
        <v>No</v>
      </c>
      <c r="E258" s="19">
        <v>6051.09</v>
      </c>
      <c r="F258" s="19">
        <v>6115.15</v>
      </c>
      <c r="G258" s="19">
        <f>$B258*'Allergan Payments'!E$24</f>
        <v>5826.2424992227852</v>
      </c>
      <c r="H258" s="19">
        <f>$B258*'Allergan Payments'!F$24</f>
        <v>5826.2424992227843</v>
      </c>
      <c r="I258" s="19">
        <f>$B258*'Allergan Payments'!G$24</f>
        <v>5826.242499449464</v>
      </c>
      <c r="J258" s="19">
        <f>$B258*'Allergan Payments'!H$24</f>
        <v>5826.242499449464</v>
      </c>
      <c r="K258" s="19">
        <f>$B258*'Allergan Payments'!I$24</f>
        <v>5826.2424994494631</v>
      </c>
      <c r="L258" s="39" t="s">
        <v>346</v>
      </c>
      <c r="M258" s="7">
        <f t="shared" si="13"/>
        <v>41297.452496793965</v>
      </c>
    </row>
    <row r="259" spans="1:13" x14ac:dyDescent="0.35">
      <c r="A259" s="3" t="s">
        <v>282</v>
      </c>
      <c r="B259" s="16">
        <v>4.9641098763200005E-3</v>
      </c>
      <c r="C259" s="8" t="s">
        <v>282</v>
      </c>
      <c r="D259" s="33" t="str">
        <f t="shared" si="14"/>
        <v>No</v>
      </c>
      <c r="E259" s="19">
        <v>21298.83</v>
      </c>
      <c r="F259" s="19">
        <v>21524.31</v>
      </c>
      <c r="G259" s="19">
        <f>$B259*'Allergan Payments'!E$24</f>
        <v>20507.402997066452</v>
      </c>
      <c r="H259" s="19">
        <f>$B259*'Allergan Payments'!F$24</f>
        <v>20507.402997066452</v>
      </c>
      <c r="I259" s="19">
        <f>$B259*'Allergan Payments'!G$24</f>
        <v>20507.402997864327</v>
      </c>
      <c r="J259" s="19">
        <f>$B259*'Allergan Payments'!H$24</f>
        <v>20507.402997864327</v>
      </c>
      <c r="K259" s="19">
        <f>$B259*'Allergan Payments'!I$24</f>
        <v>20507.402997864323</v>
      </c>
      <c r="L259" s="39" t="s">
        <v>346</v>
      </c>
      <c r="M259" s="7">
        <f t="shared" si="13"/>
        <v>145360.15498772589</v>
      </c>
    </row>
    <row r="260" spans="1:13" x14ac:dyDescent="0.35">
      <c r="A260" s="3" t="s">
        <v>60</v>
      </c>
      <c r="B260" s="16">
        <v>5.757676198157949E-5</v>
      </c>
      <c r="C260" s="8" t="s">
        <v>283</v>
      </c>
      <c r="D260" s="33" t="str">
        <f t="shared" si="14"/>
        <v>Yes</v>
      </c>
      <c r="E260" s="19">
        <v>1726.73</v>
      </c>
      <c r="F260" s="19">
        <v>0</v>
      </c>
      <c r="G260" s="52">
        <f>$B260*'Allergan Payments'!E$24</f>
        <v>237.85731795641476</v>
      </c>
      <c r="H260" s="52">
        <f>$B260*'Allergan Payments'!F$24</f>
        <v>237.85731795641473</v>
      </c>
      <c r="I260" s="52">
        <f>$B260*'Allergan Payments'!G$24</f>
        <v>237.85731796566895</v>
      </c>
      <c r="J260" s="52">
        <f>$B260*'Allergan Payments'!H$24</f>
        <v>237.85731796566895</v>
      </c>
      <c r="K260" s="52">
        <f>$B260*'Allergan Payments'!I$24</f>
        <v>237.85731796566893</v>
      </c>
      <c r="L260" s="39" t="s">
        <v>346</v>
      </c>
      <c r="M260" s="7">
        <f t="shared" ref="M260:M261" si="17">E260</f>
        <v>1726.73</v>
      </c>
    </row>
    <row r="261" spans="1:13" x14ac:dyDescent="0.35">
      <c r="A261" s="3" t="s">
        <v>168</v>
      </c>
      <c r="B261" s="16">
        <v>3.0609535252973091E-7</v>
      </c>
      <c r="C261" s="8" t="s">
        <v>284</v>
      </c>
      <c r="D261" s="33" t="str">
        <f t="shared" si="14"/>
        <v>Yes</v>
      </c>
      <c r="E261" s="19">
        <v>9.18</v>
      </c>
      <c r="F261" s="19">
        <v>0</v>
      </c>
      <c r="G261" s="52">
        <f>$B261*'Allergan Payments'!E$24</f>
        <v>1.2645209123593679</v>
      </c>
      <c r="H261" s="52">
        <f>$B261*'Allergan Payments'!F$24</f>
        <v>1.2645209123593679</v>
      </c>
      <c r="I261" s="52">
        <f>$B261*'Allergan Payments'!G$24</f>
        <v>1.2645209124085661</v>
      </c>
      <c r="J261" s="52">
        <f>$B261*'Allergan Payments'!H$24</f>
        <v>1.2645209124085661</v>
      </c>
      <c r="K261" s="52">
        <f>$B261*'Allergan Payments'!I$24</f>
        <v>1.2645209124085659</v>
      </c>
      <c r="L261" s="39" t="s">
        <v>346</v>
      </c>
      <c r="M261" s="7">
        <f t="shared" si="17"/>
        <v>9.18</v>
      </c>
    </row>
    <row r="262" spans="1:13" x14ac:dyDescent="0.35">
      <c r="A262" s="3" t="s">
        <v>22</v>
      </c>
      <c r="B262" s="16">
        <v>7.6929149136000007E-4</v>
      </c>
      <c r="C262" s="8" t="s">
        <v>285</v>
      </c>
      <c r="D262" s="33" t="str">
        <f t="shared" si="14"/>
        <v>No</v>
      </c>
      <c r="E262" s="19">
        <v>3300.69</v>
      </c>
      <c r="F262" s="19">
        <v>3335.64</v>
      </c>
      <c r="G262" s="19">
        <f>$B262*'Allergan Payments'!E$24</f>
        <v>3178.0462214968124</v>
      </c>
      <c r="H262" s="19">
        <f>$B262*'Allergan Payments'!F$24</f>
        <v>3178.0462214968124</v>
      </c>
      <c r="I262" s="19">
        <f>$B262*'Allergan Payments'!G$24</f>
        <v>3178.0462216204596</v>
      </c>
      <c r="J262" s="19">
        <f>$B262*'Allergan Payments'!H$24</f>
        <v>3178.0462216204596</v>
      </c>
      <c r="K262" s="19">
        <f>$B262*'Allergan Payments'!I$24</f>
        <v>3178.0462216204592</v>
      </c>
      <c r="L262" s="39" t="s">
        <v>346</v>
      </c>
      <c r="M262" s="7">
        <f t="shared" ref="M262:M283" si="18">SUM(E262:L262)</f>
        <v>22526.561107855003</v>
      </c>
    </row>
    <row r="263" spans="1:13" x14ac:dyDescent="0.35">
      <c r="A263" s="3" t="s">
        <v>31</v>
      </c>
      <c r="B263" s="16">
        <v>4.5586529889378655E-3</v>
      </c>
      <c r="C263" s="8" t="s">
        <v>31</v>
      </c>
      <c r="D263" s="33" t="str">
        <f t="shared" si="14"/>
        <v>No</v>
      </c>
      <c r="E263" s="19">
        <v>19794.539999999997</v>
      </c>
      <c r="F263" s="19">
        <v>19766.25</v>
      </c>
      <c r="G263" s="19">
        <f>$B263*'Allergan Payments'!E$24</f>
        <v>18832.406271642314</v>
      </c>
      <c r="H263" s="19">
        <f>$B263*'Allergan Payments'!F$24</f>
        <v>18832.406271642314</v>
      </c>
      <c r="I263" s="19">
        <f>$B263*'Allergan Payments'!G$24</f>
        <v>18832.406272375018</v>
      </c>
      <c r="J263" s="19">
        <f>$B263*'Allergan Payments'!H$24</f>
        <v>18832.406272375018</v>
      </c>
      <c r="K263" s="19">
        <f>$B263*'Allergan Payments'!I$24</f>
        <v>18832.406272375018</v>
      </c>
      <c r="L263" s="39" t="s">
        <v>346</v>
      </c>
      <c r="M263" s="7">
        <f t="shared" si="18"/>
        <v>133722.8213604097</v>
      </c>
    </row>
    <row r="264" spans="1:13" x14ac:dyDescent="0.35">
      <c r="A264" s="3" t="s">
        <v>63</v>
      </c>
      <c r="B264" s="16">
        <v>5.1656580704585642E-5</v>
      </c>
      <c r="C264" s="8" t="s">
        <v>286</v>
      </c>
      <c r="D264" s="8" t="s">
        <v>337</v>
      </c>
      <c r="E264" s="19">
        <v>0</v>
      </c>
      <c r="F264" s="19">
        <v>0</v>
      </c>
      <c r="G264" s="19">
        <v>0</v>
      </c>
      <c r="H264" s="19">
        <v>0</v>
      </c>
      <c r="I264" s="19">
        <v>0</v>
      </c>
      <c r="J264" s="19">
        <v>0</v>
      </c>
      <c r="K264" s="19">
        <v>0</v>
      </c>
      <c r="L264" s="39" t="s">
        <v>346</v>
      </c>
      <c r="M264" s="7">
        <f t="shared" si="18"/>
        <v>0</v>
      </c>
    </row>
    <row r="265" spans="1:13" x14ac:dyDescent="0.35">
      <c r="A265" s="3" t="s">
        <v>14</v>
      </c>
      <c r="B265" s="16">
        <v>3.4487897129946177E-4</v>
      </c>
      <c r="C265" s="8" t="s">
        <v>287</v>
      </c>
      <c r="D265" s="33" t="str">
        <f t="shared" ref="D265:D282" si="19">IF(B265&lt;0.000083,"Yes","No")</f>
        <v>No</v>
      </c>
      <c r="E265" s="19">
        <v>1479.73</v>
      </c>
      <c r="F265" s="19">
        <v>1495.39</v>
      </c>
      <c r="G265" s="19">
        <f>$B265*'Allergan Payments'!E$24</f>
        <v>1424.7412377775217</v>
      </c>
      <c r="H265" s="19">
        <f>$B265*'Allergan Payments'!F$24</f>
        <v>1424.7412377775215</v>
      </c>
      <c r="I265" s="19">
        <f>$B265*'Allergan Payments'!G$24</f>
        <v>1424.7412378329534</v>
      </c>
      <c r="J265" s="19">
        <f>$B265*'Allergan Payments'!H$24</f>
        <v>1424.7412378329534</v>
      </c>
      <c r="K265" s="19">
        <f>$B265*'Allergan Payments'!I$24</f>
        <v>1424.7412378329534</v>
      </c>
      <c r="L265" s="39" t="s">
        <v>346</v>
      </c>
      <c r="M265" s="7">
        <f t="shared" si="18"/>
        <v>10098.826189053903</v>
      </c>
    </row>
    <row r="266" spans="1:13" x14ac:dyDescent="0.35">
      <c r="A266" s="3" t="s">
        <v>75</v>
      </c>
      <c r="B266" s="16">
        <v>1.3154129039520002E-2</v>
      </c>
      <c r="C266" s="8" t="s">
        <v>288</v>
      </c>
      <c r="D266" s="33" t="str">
        <f t="shared" si="19"/>
        <v>No</v>
      </c>
      <c r="E266" s="19">
        <v>56438.63</v>
      </c>
      <c r="F266" s="19">
        <v>57036.11</v>
      </c>
      <c r="G266" s="19">
        <f>$B266*'Allergan Payments'!E$24</f>
        <v>54341.469469815194</v>
      </c>
      <c r="H266" s="19">
        <f>$B266*'Allergan Payments'!F$24</f>
        <v>54341.469469815187</v>
      </c>
      <c r="I266" s="19">
        <f>$B266*'Allergan Payments'!G$24</f>
        <v>54341.469471929428</v>
      </c>
      <c r="J266" s="19">
        <f>$B266*'Allergan Payments'!H$24</f>
        <v>54341.469471929428</v>
      </c>
      <c r="K266" s="19">
        <f>$B266*'Allergan Payments'!I$24</f>
        <v>54341.46947192942</v>
      </c>
      <c r="L266" s="39" t="s">
        <v>346</v>
      </c>
      <c r="M266" s="7">
        <f t="shared" si="18"/>
        <v>385182.08735541865</v>
      </c>
    </row>
    <row r="267" spans="1:13" x14ac:dyDescent="0.35">
      <c r="A267" s="3" t="s">
        <v>75</v>
      </c>
      <c r="B267" s="16">
        <v>4.8332605371401058E-4</v>
      </c>
      <c r="C267" s="8" t="s">
        <v>289</v>
      </c>
      <c r="D267" s="33" t="str">
        <f t="shared" si="19"/>
        <v>No</v>
      </c>
      <c r="E267" s="19">
        <v>2073.7399999999998</v>
      </c>
      <c r="F267" s="19">
        <v>2095.69</v>
      </c>
      <c r="G267" s="19">
        <f>$B267*'Allergan Payments'!E$24</f>
        <v>1996.6846845547266</v>
      </c>
      <c r="H267" s="19">
        <f>$B267*'Allergan Payments'!F$24</f>
        <v>1996.6846845547263</v>
      </c>
      <c r="I267" s="19">
        <f>$B267*'Allergan Payments'!G$24</f>
        <v>1996.6846846324106</v>
      </c>
      <c r="J267" s="19">
        <f>$B267*'Allergan Payments'!H$24</f>
        <v>1996.6846846324106</v>
      </c>
      <c r="K267" s="19">
        <f>$B267*'Allergan Payments'!I$24</f>
        <v>1996.6846846324104</v>
      </c>
      <c r="L267" s="39" t="s">
        <v>346</v>
      </c>
      <c r="M267" s="7">
        <f t="shared" si="18"/>
        <v>14152.853423006685</v>
      </c>
    </row>
    <row r="268" spans="1:13" x14ac:dyDescent="0.35">
      <c r="A268" s="3" t="s">
        <v>28</v>
      </c>
      <c r="B268" s="16">
        <v>2.6615292034240005E-2</v>
      </c>
      <c r="C268" s="8" t="s">
        <v>28</v>
      </c>
      <c r="D268" s="33" t="str">
        <f t="shared" si="19"/>
        <v>No</v>
      </c>
      <c r="E268" s="19">
        <v>114194.61</v>
      </c>
      <c r="F268" s="19">
        <v>115403.51</v>
      </c>
      <c r="G268" s="19">
        <f>$B268*'Allergan Payments'!E$24</f>
        <v>109951.33734537585</v>
      </c>
      <c r="H268" s="19">
        <f>$B268*'Allergan Payments'!F$24</f>
        <v>109951.33734537585</v>
      </c>
      <c r="I268" s="19">
        <f>$B268*'Allergan Payments'!G$24</f>
        <v>109951.33734965368</v>
      </c>
      <c r="J268" s="19">
        <f>$B268*'Allergan Payments'!H$24</f>
        <v>109951.33734965368</v>
      </c>
      <c r="K268" s="19">
        <f>$B268*'Allergan Payments'!I$24</f>
        <v>109951.33734965367</v>
      </c>
      <c r="L268" s="39" t="s">
        <v>346</v>
      </c>
      <c r="M268" s="7">
        <f t="shared" si="18"/>
        <v>779354.80673971283</v>
      </c>
    </row>
    <row r="269" spans="1:13" x14ac:dyDescent="0.35">
      <c r="A269" s="3" t="s">
        <v>34</v>
      </c>
      <c r="B269" s="16">
        <v>1.306353444363766E-3</v>
      </c>
      <c r="C269" s="8" t="s">
        <v>290</v>
      </c>
      <c r="D269" s="33" t="str">
        <f t="shared" si="19"/>
        <v>No</v>
      </c>
      <c r="E269" s="19">
        <v>5604.99</v>
      </c>
      <c r="F269" s="19">
        <v>5664.33</v>
      </c>
      <c r="G269" s="19">
        <f>$B269*'Allergan Payments'!E$24</f>
        <v>5396.7211056241786</v>
      </c>
      <c r="H269" s="19">
        <f>$B269*'Allergan Payments'!F$24</f>
        <v>5396.7211056241786</v>
      </c>
      <c r="I269" s="19">
        <f>$B269*'Allergan Payments'!G$24</f>
        <v>5396.7211058341463</v>
      </c>
      <c r="J269" s="19">
        <f>$B269*'Allergan Payments'!H$24</f>
        <v>5396.7211058341463</v>
      </c>
      <c r="K269" s="19">
        <f>$B269*'Allergan Payments'!I$24</f>
        <v>5396.7211058341463</v>
      </c>
      <c r="L269" s="39" t="s">
        <v>346</v>
      </c>
      <c r="M269" s="7">
        <f t="shared" si="18"/>
        <v>38252.925528750799</v>
      </c>
    </row>
    <row r="270" spans="1:13" x14ac:dyDescent="0.35">
      <c r="A270" s="3" t="s">
        <v>22</v>
      </c>
      <c r="B270" s="16">
        <v>9.3847771248000008E-4</v>
      </c>
      <c r="C270" s="8" t="s">
        <v>291</v>
      </c>
      <c r="D270" s="33" t="str">
        <f t="shared" si="19"/>
        <v>No</v>
      </c>
      <c r="E270" s="19">
        <v>4026.6</v>
      </c>
      <c r="F270" s="19">
        <v>4069.23</v>
      </c>
      <c r="G270" s="19">
        <f>$B270*'Allergan Payments'!E$24</f>
        <v>3876.9771687365828</v>
      </c>
      <c r="H270" s="19">
        <f>$B270*'Allergan Payments'!F$24</f>
        <v>3876.9771687365824</v>
      </c>
      <c r="I270" s="19">
        <f>$B270*'Allergan Payments'!G$24</f>
        <v>3876.9771688874225</v>
      </c>
      <c r="J270" s="19">
        <f>$B270*'Allergan Payments'!H$24</f>
        <v>3876.9771688874225</v>
      </c>
      <c r="K270" s="19">
        <f>$B270*'Allergan Payments'!I$24</f>
        <v>3876.9771688874221</v>
      </c>
      <c r="L270" s="39" t="s">
        <v>346</v>
      </c>
      <c r="M270" s="7">
        <f t="shared" si="18"/>
        <v>27480.71584413543</v>
      </c>
    </row>
    <row r="271" spans="1:13" x14ac:dyDescent="0.35">
      <c r="A271" s="3" t="s">
        <v>22</v>
      </c>
      <c r="B271" s="16">
        <v>0.11408752734624</v>
      </c>
      <c r="C271" s="8" t="s">
        <v>22</v>
      </c>
      <c r="D271" s="33" t="str">
        <f t="shared" si="19"/>
        <v>No</v>
      </c>
      <c r="E271" s="19">
        <v>489499.82</v>
      </c>
      <c r="F271" s="19">
        <v>494681.84</v>
      </c>
      <c r="G271" s="19">
        <f>$B271*'Allergan Payments'!E$24</f>
        <v>471310.86106470454</v>
      </c>
      <c r="H271" s="19">
        <f>$B271*'Allergan Payments'!F$24</f>
        <v>471310.86106470448</v>
      </c>
      <c r="I271" s="19">
        <f>$B271*'Allergan Payments'!G$24</f>
        <v>471310.86108304159</v>
      </c>
      <c r="J271" s="19">
        <f>$B271*'Allergan Payments'!H$24</f>
        <v>471310.86108304159</v>
      </c>
      <c r="K271" s="19">
        <f>$B271*'Allergan Payments'!I$24</f>
        <v>471310.86108304153</v>
      </c>
      <c r="L271" s="39" t="s">
        <v>346</v>
      </c>
      <c r="M271" s="7">
        <f t="shared" si="18"/>
        <v>3340735.9653785331</v>
      </c>
    </row>
    <row r="272" spans="1:13" x14ac:dyDescent="0.35">
      <c r="A272" s="3" t="s">
        <v>34</v>
      </c>
      <c r="B272" s="16">
        <v>1.5671696722706324E-3</v>
      </c>
      <c r="C272" s="8" t="s">
        <v>292</v>
      </c>
      <c r="D272" s="33" t="str">
        <f t="shared" si="19"/>
        <v>No</v>
      </c>
      <c r="E272" s="19">
        <v>6724.04</v>
      </c>
      <c r="F272" s="19">
        <v>0</v>
      </c>
      <c r="G272" s="19">
        <f>$B272*'Allergan Payments'!E$24</f>
        <v>6474.1878876096571</v>
      </c>
      <c r="H272" s="19">
        <f>$B272*'Allergan Payments'!F$24</f>
        <v>6474.1878876096562</v>
      </c>
      <c r="I272" s="19">
        <f>$B272*'Allergan Payments'!G$24</f>
        <v>6474.1878878615453</v>
      </c>
      <c r="J272" s="19">
        <f>$B272*'Allergan Payments'!H$24</f>
        <v>6474.1878878615453</v>
      </c>
      <c r="K272" s="19">
        <f>$B272*'Allergan Payments'!I$24</f>
        <v>6474.1878878615444</v>
      </c>
      <c r="L272" s="39" t="s">
        <v>346</v>
      </c>
      <c r="M272" s="7">
        <f t="shared" si="18"/>
        <v>39094.979438803952</v>
      </c>
    </row>
    <row r="273" spans="1:13" x14ac:dyDescent="0.35">
      <c r="A273" s="3" t="s">
        <v>22</v>
      </c>
      <c r="B273" s="16">
        <v>3.6531164913600001E-3</v>
      </c>
      <c r="C273" s="8" t="s">
        <v>293</v>
      </c>
      <c r="D273" s="33" t="str">
        <f t="shared" si="19"/>
        <v>No</v>
      </c>
      <c r="E273" s="19">
        <v>15673.93</v>
      </c>
      <c r="F273" s="19">
        <v>15839.86</v>
      </c>
      <c r="G273" s="19">
        <f>$B273*'Allergan Payments'!E$24</f>
        <v>15091.51367517387</v>
      </c>
      <c r="H273" s="19">
        <f>$B273*'Allergan Payments'!F$24</f>
        <v>15091.513675173868</v>
      </c>
      <c r="I273" s="19">
        <f>$B273*'Allergan Payments'!G$24</f>
        <v>15091.513675761029</v>
      </c>
      <c r="J273" s="19">
        <f>$B273*'Allergan Payments'!H$24</f>
        <v>15091.513675761029</v>
      </c>
      <c r="K273" s="19">
        <f>$B273*'Allergan Payments'!I$24</f>
        <v>15091.513675761027</v>
      </c>
      <c r="L273" s="39" t="s">
        <v>346</v>
      </c>
      <c r="M273" s="7">
        <f t="shared" si="18"/>
        <v>106971.35837763082</v>
      </c>
    </row>
    <row r="274" spans="1:13" x14ac:dyDescent="0.35">
      <c r="A274" s="3" t="s">
        <v>66</v>
      </c>
      <c r="B274" s="16">
        <v>3.3453814497600002E-3</v>
      </c>
      <c r="C274" s="8" t="s">
        <v>66</v>
      </c>
      <c r="D274" s="33" t="str">
        <f t="shared" si="19"/>
        <v>No</v>
      </c>
      <c r="E274" s="19">
        <v>14353.57</v>
      </c>
      <c r="F274" s="19">
        <v>14505.52</v>
      </c>
      <c r="G274" s="19">
        <f>$B274*'Allergan Payments'!E$24</f>
        <v>13820.218987577517</v>
      </c>
      <c r="H274" s="19">
        <f>$B274*'Allergan Payments'!F$24</f>
        <v>13820.218987577515</v>
      </c>
      <c r="I274" s="19">
        <f>$B274*'Allergan Payments'!G$24</f>
        <v>13820.218988115214</v>
      </c>
      <c r="J274" s="19">
        <f>$B274*'Allergan Payments'!H$24</f>
        <v>13820.218988115214</v>
      </c>
      <c r="K274" s="19">
        <f>$B274*'Allergan Payments'!I$24</f>
        <v>13820.218988115212</v>
      </c>
      <c r="L274" s="39" t="s">
        <v>346</v>
      </c>
      <c r="M274" s="7">
        <f t="shared" si="18"/>
        <v>97960.184939500672</v>
      </c>
    </row>
    <row r="275" spans="1:13" x14ac:dyDescent="0.35">
      <c r="A275" s="3" t="s">
        <v>34</v>
      </c>
      <c r="B275" s="16">
        <v>3.4982406091484461E-4</v>
      </c>
      <c r="C275" s="8" t="s">
        <v>294</v>
      </c>
      <c r="D275" s="33" t="str">
        <f t="shared" si="19"/>
        <v>No</v>
      </c>
      <c r="E275" s="19">
        <v>1500.94</v>
      </c>
      <c r="F275" s="19">
        <v>1516.83</v>
      </c>
      <c r="G275" s="19">
        <f>$B275*'Allergan Payments'!E$24</f>
        <v>1445.1700655282971</v>
      </c>
      <c r="H275" s="19">
        <f>$B275*'Allergan Payments'!F$24</f>
        <v>1445.1700655282971</v>
      </c>
      <c r="I275" s="19">
        <f>$B275*'Allergan Payments'!G$24</f>
        <v>1445.1700655845236</v>
      </c>
      <c r="J275" s="19">
        <f>$B275*'Allergan Payments'!H$24</f>
        <v>1445.1700655845236</v>
      </c>
      <c r="K275" s="19">
        <f>$B275*'Allergan Payments'!I$24</f>
        <v>1445.1700655845236</v>
      </c>
      <c r="L275" s="39" t="s">
        <v>346</v>
      </c>
      <c r="M275" s="7">
        <f t="shared" si="18"/>
        <v>10243.620327810164</v>
      </c>
    </row>
    <row r="276" spans="1:13" x14ac:dyDescent="0.35">
      <c r="A276" s="3" t="s">
        <v>34</v>
      </c>
      <c r="B276" s="16">
        <v>2.2074607648649763E-4</v>
      </c>
      <c r="C276" s="8" t="s">
        <v>295</v>
      </c>
      <c r="D276" s="33" t="str">
        <f t="shared" si="19"/>
        <v>No</v>
      </c>
      <c r="E276" s="19">
        <v>947.13</v>
      </c>
      <c r="F276" s="19">
        <v>957.15</v>
      </c>
      <c r="G276" s="19">
        <f>$B276*'Allergan Payments'!E$24</f>
        <v>911.93161781619756</v>
      </c>
      <c r="H276" s="19">
        <f>$B276*'Allergan Payments'!F$24</f>
        <v>911.93161781619744</v>
      </c>
      <c r="I276" s="19">
        <f>$B276*'Allergan Payments'!G$24</f>
        <v>911.93161785167763</v>
      </c>
      <c r="J276" s="19">
        <f>$B276*'Allergan Payments'!H$24</f>
        <v>911.93161785167763</v>
      </c>
      <c r="K276" s="19">
        <f>$B276*'Allergan Payments'!I$24</f>
        <v>911.93161785167752</v>
      </c>
      <c r="L276" s="39" t="s">
        <v>346</v>
      </c>
      <c r="M276" s="7">
        <f t="shared" si="18"/>
        <v>6463.938089187428</v>
      </c>
    </row>
    <row r="277" spans="1:13" x14ac:dyDescent="0.35">
      <c r="A277" s="3" t="s">
        <v>22</v>
      </c>
      <c r="B277" s="16">
        <v>3.4175249817315688E-4</v>
      </c>
      <c r="C277" s="8" t="s">
        <v>296</v>
      </c>
      <c r="D277" s="33" t="str">
        <f t="shared" si="19"/>
        <v>No</v>
      </c>
      <c r="E277" s="19">
        <v>1466.31</v>
      </c>
      <c r="F277" s="19">
        <v>0</v>
      </c>
      <c r="G277" s="19">
        <f>$B277*'Allergan Payments'!E$24</f>
        <v>1411.8253584037632</v>
      </c>
      <c r="H277" s="19">
        <f>$B277*'Allergan Payments'!F$24</f>
        <v>1411.8253584037629</v>
      </c>
      <c r="I277" s="19">
        <f>$B277*'Allergan Payments'!G$24</f>
        <v>1411.8253584586923</v>
      </c>
      <c r="J277" s="19">
        <f>$B277*'Allergan Payments'!H$24</f>
        <v>1411.8253584586923</v>
      </c>
      <c r="K277" s="19">
        <f>$B277*'Allergan Payments'!I$24</f>
        <v>1411.8253584586923</v>
      </c>
      <c r="L277" s="39" t="s">
        <v>346</v>
      </c>
      <c r="M277" s="7">
        <f t="shared" si="18"/>
        <v>8525.4367921836038</v>
      </c>
    </row>
    <row r="278" spans="1:13" x14ac:dyDescent="0.35">
      <c r="A278" s="3" t="s">
        <v>22</v>
      </c>
      <c r="B278" s="16">
        <v>5.8366538543403043E-4</v>
      </c>
      <c r="C278" s="8" t="s">
        <v>297</v>
      </c>
      <c r="D278" s="33" t="str">
        <f t="shared" si="19"/>
        <v>No</v>
      </c>
      <c r="E278" s="19">
        <v>2504.25</v>
      </c>
      <c r="F278" s="19">
        <v>2530.7600000000002</v>
      </c>
      <c r="G278" s="19">
        <f>$B278*'Allergan Payments'!E$24</f>
        <v>2411.1999074861328</v>
      </c>
      <c r="H278" s="19">
        <f>$B278*'Allergan Payments'!F$24</f>
        <v>2411.1999074861324</v>
      </c>
      <c r="I278" s="19">
        <f>$B278*'Allergan Payments'!G$24</f>
        <v>2411.199907579944</v>
      </c>
      <c r="J278" s="19">
        <f>$B278*'Allergan Payments'!H$24</f>
        <v>2411.199907579944</v>
      </c>
      <c r="K278" s="19">
        <f>$B278*'Allergan Payments'!I$24</f>
        <v>2411.199907579944</v>
      </c>
      <c r="L278" s="39" t="s">
        <v>346</v>
      </c>
      <c r="M278" s="7">
        <f t="shared" si="18"/>
        <v>17091.009537712096</v>
      </c>
    </row>
    <row r="279" spans="1:13" x14ac:dyDescent="0.35">
      <c r="A279" s="3" t="s">
        <v>14</v>
      </c>
      <c r="B279" s="16">
        <v>1.526406853995849E-3</v>
      </c>
      <c r="C279" s="8" t="s">
        <v>298</v>
      </c>
      <c r="D279" s="33" t="str">
        <f t="shared" si="19"/>
        <v>No</v>
      </c>
      <c r="E279" s="19">
        <v>6549.15</v>
      </c>
      <c r="F279" s="19">
        <v>6618.48</v>
      </c>
      <c r="G279" s="19">
        <f>$B279*'Allergan Payments'!E$24</f>
        <v>6305.7912238603712</v>
      </c>
      <c r="H279" s="19">
        <f>$B279*'Allergan Payments'!F$24</f>
        <v>6305.7912238603703</v>
      </c>
      <c r="I279" s="19">
        <f>$B279*'Allergan Payments'!G$24</f>
        <v>6305.7912241057074</v>
      </c>
      <c r="J279" s="19">
        <f>$B279*'Allergan Payments'!H$24</f>
        <v>6305.7912241057074</v>
      </c>
      <c r="K279" s="19">
        <f>$B279*'Allergan Payments'!I$24</f>
        <v>6305.7912241057065</v>
      </c>
      <c r="L279" s="39" t="s">
        <v>346</v>
      </c>
      <c r="M279" s="7">
        <f t="shared" si="18"/>
        <v>44696.586120037864</v>
      </c>
    </row>
    <row r="280" spans="1:13" x14ac:dyDescent="0.35">
      <c r="A280" s="3" t="s">
        <v>28</v>
      </c>
      <c r="B280" s="16">
        <v>3.4585485351294921E-4</v>
      </c>
      <c r="C280" s="8" t="s">
        <v>299</v>
      </c>
      <c r="D280" s="33" t="str">
        <f t="shared" si="19"/>
        <v>No</v>
      </c>
      <c r="E280" s="19">
        <v>1483.91</v>
      </c>
      <c r="F280" s="19">
        <v>1499.62</v>
      </c>
      <c r="G280" s="19">
        <f>$B280*'Allergan Payments'!E$24</f>
        <v>1428.7727379514245</v>
      </c>
      <c r="H280" s="19">
        <f>$B280*'Allergan Payments'!F$24</f>
        <v>1428.7727379514242</v>
      </c>
      <c r="I280" s="19">
        <f>$B280*'Allergan Payments'!G$24</f>
        <v>1428.772738007013</v>
      </c>
      <c r="J280" s="19">
        <f>$B280*'Allergan Payments'!H$24</f>
        <v>1428.772738007013</v>
      </c>
      <c r="K280" s="19">
        <f>$B280*'Allergan Payments'!I$24</f>
        <v>1428.772738007013</v>
      </c>
      <c r="L280" s="39" t="s">
        <v>346</v>
      </c>
      <c r="M280" s="7">
        <f t="shared" si="18"/>
        <v>10127.393689923889</v>
      </c>
    </row>
    <row r="281" spans="1:13" x14ac:dyDescent="0.35">
      <c r="A281" s="3" t="s">
        <v>28</v>
      </c>
      <c r="B281" s="16">
        <v>5.3695276199727988E-4</v>
      </c>
      <c r="C281" s="8" t="s">
        <v>300</v>
      </c>
      <c r="D281" s="33" t="str">
        <f t="shared" si="19"/>
        <v>No</v>
      </c>
      <c r="E281" s="19">
        <v>2303.83</v>
      </c>
      <c r="F281" s="19">
        <v>2328.2199999999998</v>
      </c>
      <c r="G281" s="19">
        <f>$B281*'Allergan Payments'!E$24</f>
        <v>2218.2238014500176</v>
      </c>
      <c r="H281" s="19">
        <f>$B281*'Allergan Payments'!F$24</f>
        <v>2218.2238014500172</v>
      </c>
      <c r="I281" s="19">
        <f>$B281*'Allergan Payments'!G$24</f>
        <v>2218.2238015363209</v>
      </c>
      <c r="J281" s="19">
        <f>$B281*'Allergan Payments'!H$24</f>
        <v>2218.2238015363209</v>
      </c>
      <c r="K281" s="19">
        <f>$B281*'Allergan Payments'!I$24</f>
        <v>2218.2238015363205</v>
      </c>
      <c r="L281" s="39" t="s">
        <v>346</v>
      </c>
      <c r="M281" s="7">
        <f t="shared" si="18"/>
        <v>15723.169007508999</v>
      </c>
    </row>
    <row r="282" spans="1:13" x14ac:dyDescent="0.35">
      <c r="A282" s="3" t="s">
        <v>24</v>
      </c>
      <c r="B282" s="16">
        <v>3.6753988866981733E-5</v>
      </c>
      <c r="C282" s="8" t="s">
        <v>301</v>
      </c>
      <c r="D282" s="33" t="str">
        <f t="shared" si="19"/>
        <v>Yes</v>
      </c>
      <c r="E282" s="19">
        <v>1102.25</v>
      </c>
      <c r="F282" s="19">
        <v>0</v>
      </c>
      <c r="G282" s="52">
        <f>$B282*'Allergan Payments'!E$24</f>
        <v>151.83565235740579</v>
      </c>
      <c r="H282" s="52">
        <f>$B282*'Allergan Payments'!F$24</f>
        <v>151.83565235740579</v>
      </c>
      <c r="I282" s="52">
        <f>$B282*'Allergan Payments'!G$24</f>
        <v>151.83565236331319</v>
      </c>
      <c r="J282" s="52">
        <f>$B282*'Allergan Payments'!H$24</f>
        <v>151.83565236331319</v>
      </c>
      <c r="K282" s="52">
        <f>$B282*'Allergan Payments'!I$24</f>
        <v>151.83565236331319</v>
      </c>
      <c r="L282" s="39" t="s">
        <v>346</v>
      </c>
      <c r="M282" s="7">
        <f>E282</f>
        <v>1102.25</v>
      </c>
    </row>
    <row r="283" spans="1:13" x14ac:dyDescent="0.35">
      <c r="A283" s="8" t="s">
        <v>270</v>
      </c>
      <c r="B283" s="20"/>
      <c r="C283" s="8" t="s">
        <v>270</v>
      </c>
      <c r="D283" s="8"/>
      <c r="E283" s="43">
        <f>'Allergan Payments'!C17</f>
        <v>5205617.4028361468</v>
      </c>
      <c r="F283" s="19">
        <v>5301697.72</v>
      </c>
      <c r="G283" s="43">
        <f>'Allergan Payments'!E17</f>
        <v>5188893.5981165972</v>
      </c>
      <c r="H283" s="43">
        <f>'Allergan Payments'!F17</f>
        <v>5188893.5981165962</v>
      </c>
      <c r="I283" s="43">
        <f>'Allergan Payments'!G17</f>
        <v>5188893.5983182639</v>
      </c>
      <c r="J283" s="43">
        <f>'Allergan Payments'!H17</f>
        <v>5188893.5983182639</v>
      </c>
      <c r="K283" s="43">
        <f>'Allergan Payments'!I17</f>
        <v>5188893.598318263</v>
      </c>
      <c r="M283" s="7">
        <f t="shared" si="18"/>
        <v>36451783.114024132</v>
      </c>
    </row>
    <row r="285" spans="1:13" x14ac:dyDescent="0.35">
      <c r="B285" s="3" t="s">
        <v>340</v>
      </c>
    </row>
  </sheetData>
  <sheetProtection algorithmName="SHA-512" hashValue="vS0CgLyKcpQaCW5eeDVkFwt2uagjrV6MtnZMsievkt3jrLSiXty9ZVgZvypLd/OjJLO2KsnxqG4wGeGgi+d7Uw==" saltValue="SFa3lwo879c6nAA6iWmcbg==" spinCount="100000" sheet="1" sort="0" autoFilter="0" pivotTables="0"/>
  <autoFilter ref="A3:M283" xr:uid="{A817AFE2-400E-4528-B798-D605BB194E27}"/>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E84F-FC81-484C-92B8-737AD345C310}">
  <sheetPr codeName="Sheet7"/>
  <dimension ref="A1:P285"/>
  <sheetViews>
    <sheetView zoomScaleNormal="100" workbookViewId="0">
      <pane ySplit="3" topLeftCell="A4" activePane="bottomLeft" state="frozen"/>
      <selection activeCell="A12" sqref="A12:L22"/>
      <selection pane="bottomLeft" activeCell="D264" sqref="D264"/>
    </sheetView>
  </sheetViews>
  <sheetFormatPr defaultRowHeight="18" x14ac:dyDescent="0.35"/>
  <cols>
    <col min="1" max="1" width="23.44140625" customWidth="1"/>
    <col min="2" max="2" width="33.88671875" customWidth="1"/>
    <col min="3" max="3" width="43.88671875" customWidth="1"/>
    <col min="4" max="4" width="25.109375" customWidth="1"/>
    <col min="5" max="5" width="18.6640625" style="4" customWidth="1"/>
    <col min="6" max="7" width="16.44140625" bestFit="1" customWidth="1"/>
    <col min="8" max="12" width="16.44140625" style="2" bestFit="1" customWidth="1"/>
    <col min="13" max="13" width="16" style="2" customWidth="1"/>
    <col min="14" max="14" width="17.44140625" style="2" bestFit="1" customWidth="1"/>
    <col min="15" max="15" width="21.33203125" customWidth="1"/>
    <col min="16" max="16" width="22.109375" style="3" customWidth="1"/>
  </cols>
  <sheetData>
    <row r="1" spans="1:16" ht="25.8" x14ac:dyDescent="0.5">
      <c r="A1" s="111" t="s">
        <v>348</v>
      </c>
      <c r="B1" s="112"/>
      <c r="C1" s="112"/>
      <c r="D1" s="46"/>
      <c r="E1" s="5">
        <v>2024</v>
      </c>
      <c r="F1" s="5">
        <v>2024</v>
      </c>
      <c r="G1" s="5">
        <v>2025</v>
      </c>
      <c r="H1" s="5">
        <v>2026</v>
      </c>
      <c r="I1" s="5">
        <v>2027</v>
      </c>
      <c r="J1" s="5">
        <v>2028</v>
      </c>
      <c r="K1" s="5">
        <v>2029</v>
      </c>
      <c r="L1" s="5">
        <v>2030</v>
      </c>
      <c r="M1" s="5">
        <v>2031</v>
      </c>
      <c r="N1" s="5">
        <v>2032</v>
      </c>
      <c r="O1" s="3"/>
    </row>
    <row r="2" spans="1:16" s="1" customFormat="1" ht="17.399999999999999" x14ac:dyDescent="0.3">
      <c r="A2" s="11"/>
      <c r="B2" s="11"/>
      <c r="C2" s="11"/>
      <c r="D2" s="11"/>
      <c r="E2" s="15" t="s">
        <v>308</v>
      </c>
      <c r="F2" s="15" t="s">
        <v>308</v>
      </c>
      <c r="G2" s="15" t="s">
        <v>309</v>
      </c>
      <c r="H2" s="15" t="s">
        <v>309</v>
      </c>
      <c r="I2" s="15" t="s">
        <v>309</v>
      </c>
      <c r="J2" s="15" t="s">
        <v>309</v>
      </c>
      <c r="K2" s="15" t="s">
        <v>309</v>
      </c>
      <c r="L2" s="15" t="s">
        <v>309</v>
      </c>
      <c r="M2" s="15" t="s">
        <v>309</v>
      </c>
      <c r="N2" s="15" t="s">
        <v>309</v>
      </c>
      <c r="O2" s="11" t="s">
        <v>309</v>
      </c>
      <c r="P2" s="11"/>
    </row>
    <row r="3" spans="1:16" ht="52.2" x14ac:dyDescent="0.3">
      <c r="A3" s="11" t="s">
        <v>3</v>
      </c>
      <c r="B3" s="11" t="s">
        <v>310</v>
      </c>
      <c r="C3" s="11" t="s">
        <v>4</v>
      </c>
      <c r="D3" s="32" t="s">
        <v>317</v>
      </c>
      <c r="E3" s="18" t="s">
        <v>311</v>
      </c>
      <c r="F3" s="11" t="s">
        <v>312</v>
      </c>
      <c r="G3" s="11" t="s">
        <v>313</v>
      </c>
      <c r="H3" s="15" t="s">
        <v>314</v>
      </c>
      <c r="I3" s="15" t="s">
        <v>315</v>
      </c>
      <c r="J3" s="15" t="s">
        <v>321</v>
      </c>
      <c r="K3" s="15" t="s">
        <v>322</v>
      </c>
      <c r="L3" s="15" t="s">
        <v>323</v>
      </c>
      <c r="M3" s="15" t="s">
        <v>324</v>
      </c>
      <c r="N3" s="15" t="s">
        <v>325</v>
      </c>
      <c r="O3" s="17" t="s">
        <v>345</v>
      </c>
      <c r="P3" s="15" t="s">
        <v>13</v>
      </c>
    </row>
    <row r="4" spans="1:16" x14ac:dyDescent="0.35">
      <c r="A4" s="3" t="s">
        <v>14</v>
      </c>
      <c r="B4" s="16">
        <v>4.3760292217293543E-5</v>
      </c>
      <c r="C4" s="8" t="s">
        <v>15</v>
      </c>
      <c r="D4" s="8" t="s">
        <v>337</v>
      </c>
      <c r="E4" s="73">
        <v>0</v>
      </c>
      <c r="F4" s="19">
        <v>0</v>
      </c>
      <c r="G4" s="19">
        <v>0</v>
      </c>
      <c r="H4" s="19">
        <v>0</v>
      </c>
      <c r="I4" s="19">
        <v>0</v>
      </c>
      <c r="J4" s="19">
        <v>0</v>
      </c>
      <c r="K4" s="19">
        <v>0</v>
      </c>
      <c r="L4" s="19">
        <v>0</v>
      </c>
      <c r="M4" s="19">
        <v>0</v>
      </c>
      <c r="N4" s="19">
        <v>0</v>
      </c>
      <c r="O4" s="39" t="s">
        <v>346</v>
      </c>
      <c r="P4" s="7">
        <f t="shared" ref="P4:P67" si="0">SUM(E4:O4)</f>
        <v>0</v>
      </c>
    </row>
    <row r="5" spans="1:16" x14ac:dyDescent="0.35">
      <c r="A5" s="3" t="s">
        <v>16</v>
      </c>
      <c r="B5" s="16">
        <v>3.3962665995944998E-4</v>
      </c>
      <c r="C5" s="8" t="s">
        <v>17</v>
      </c>
      <c r="D5" s="33" t="str">
        <f>IF(B5&lt;0.000083,"Yes","No")</f>
        <v>No</v>
      </c>
      <c r="E5" s="74">
        <v>1388.15</v>
      </c>
      <c r="F5" s="19">
        <v>1012.46</v>
      </c>
      <c r="G5" s="19">
        <f>$B5*'CVS Payments'!E$20</f>
        <v>2484.5853703488701</v>
      </c>
      <c r="H5" s="19">
        <f>$B5*'CVS Payments'!F$20</f>
        <v>2484.5853703488701</v>
      </c>
      <c r="I5" s="19">
        <f>$B5*'CVS Payments'!G$20</f>
        <v>2484.5853703488701</v>
      </c>
      <c r="J5" s="19">
        <f>$B5*'CVS Payments'!H$20</f>
        <v>2484.5853703488701</v>
      </c>
      <c r="K5" s="19">
        <f>$B5*'CVS Payments'!I$20</f>
        <v>2360.4546063028956</v>
      </c>
      <c r="L5" s="19">
        <f>$B5*'CVS Payments'!J$20</f>
        <v>2236.3238371609314</v>
      </c>
      <c r="M5" s="19">
        <f>$B5*'CVS Payments'!K$20</f>
        <v>2234.3538241714023</v>
      </c>
      <c r="N5" s="19">
        <f>$B5*'CVS Payments'!L$20</f>
        <v>2234.3538241714023</v>
      </c>
      <c r="O5" s="39" t="s">
        <v>346</v>
      </c>
      <c r="P5" s="7">
        <f t="shared" si="0"/>
        <v>21404.437573202111</v>
      </c>
    </row>
    <row r="6" spans="1:16" x14ac:dyDescent="0.35">
      <c r="A6" s="3" t="s">
        <v>18</v>
      </c>
      <c r="B6" s="16">
        <v>9.346301204800001E-4</v>
      </c>
      <c r="C6" s="8" t="s">
        <v>18</v>
      </c>
      <c r="D6" s="33" t="str">
        <f t="shared" ref="D6:D7" si="1">IF(B6&lt;0.000083,"Yes","No")</f>
        <v>No</v>
      </c>
      <c r="E6" s="74">
        <v>3820.09</v>
      </c>
      <c r="F6" s="19">
        <v>2786.23</v>
      </c>
      <c r="G6" s="19">
        <f>$B6*'CVS Payments'!E$20</f>
        <v>6837.4147197668972</v>
      </c>
      <c r="H6" s="19">
        <f>$B6*'CVS Payments'!F$20</f>
        <v>6837.4147197668972</v>
      </c>
      <c r="I6" s="19">
        <f>$B6*'CVS Payments'!G$20</f>
        <v>6837.4147197668972</v>
      </c>
      <c r="J6" s="19">
        <f>$B6*'CVS Payments'!H$20</f>
        <v>6837.4147197668972</v>
      </c>
      <c r="K6" s="19">
        <f>$B6*'CVS Payments'!I$20</f>
        <v>6495.815061573353</v>
      </c>
      <c r="L6" s="19">
        <f>$B6*'CVS Payments'!J$20</f>
        <v>6154.2153893559798</v>
      </c>
      <c r="M6" s="19">
        <f>$B6*'CVS Payments'!K$20</f>
        <v>6148.7940438174091</v>
      </c>
      <c r="N6" s="19">
        <f>$B6*'CVS Payments'!L$20</f>
        <v>6148.7940438174091</v>
      </c>
      <c r="O6" s="39" t="s">
        <v>346</v>
      </c>
      <c r="P6" s="7">
        <f t="shared" si="0"/>
        <v>58903.597417631747</v>
      </c>
    </row>
    <row r="7" spans="1:16" x14ac:dyDescent="0.35">
      <c r="A7" s="3" t="s">
        <v>19</v>
      </c>
      <c r="B7" s="16">
        <v>8.795261608000001E-4</v>
      </c>
      <c r="C7" s="8" t="s">
        <v>19</v>
      </c>
      <c r="D7" s="33" t="str">
        <f t="shared" si="1"/>
        <v>No</v>
      </c>
      <c r="E7" s="74">
        <v>3594.87</v>
      </c>
      <c r="F7" s="19">
        <v>2621.96</v>
      </c>
      <c r="G7" s="19">
        <f>$B7*'CVS Payments'!E$20</f>
        <v>6434.2941517715335</v>
      </c>
      <c r="H7" s="19">
        <f>$B7*'CVS Payments'!F$20</f>
        <v>6434.2941517715335</v>
      </c>
      <c r="I7" s="19">
        <f>$B7*'CVS Payments'!G$20</f>
        <v>6434.2941517715335</v>
      </c>
      <c r="J7" s="19">
        <f>$B7*'CVS Payments'!H$20</f>
        <v>6434.2941517715335</v>
      </c>
      <c r="K7" s="19">
        <f>$B7*'CVS Payments'!I$20</f>
        <v>6112.8345397623889</v>
      </c>
      <c r="L7" s="19">
        <f>$B7*'CVS Payments'!J$20</f>
        <v>5791.3749145562333</v>
      </c>
      <c r="M7" s="19">
        <f>$B7*'CVS Payments'!K$20</f>
        <v>5786.2732009227584</v>
      </c>
      <c r="N7" s="19">
        <f>$B7*'CVS Payments'!L$20</f>
        <v>5786.2732009227584</v>
      </c>
      <c r="O7" s="39" t="s">
        <v>346</v>
      </c>
      <c r="P7" s="7">
        <f t="shared" si="0"/>
        <v>55430.762463250285</v>
      </c>
    </row>
    <row r="8" spans="1:16" x14ac:dyDescent="0.35">
      <c r="A8" s="3" t="s">
        <v>14</v>
      </c>
      <c r="B8" s="16">
        <v>1.7535336933774335E-5</v>
      </c>
      <c r="C8" s="8" t="s">
        <v>20</v>
      </c>
      <c r="D8" s="8" t="s">
        <v>337</v>
      </c>
      <c r="E8" s="74">
        <v>0</v>
      </c>
      <c r="F8" s="19">
        <v>0</v>
      </c>
      <c r="G8" s="19">
        <v>0</v>
      </c>
      <c r="H8" s="19">
        <v>0</v>
      </c>
      <c r="I8" s="19">
        <v>0</v>
      </c>
      <c r="J8" s="19">
        <v>0</v>
      </c>
      <c r="K8" s="19">
        <v>0</v>
      </c>
      <c r="L8" s="19">
        <v>0</v>
      </c>
      <c r="M8" s="19">
        <v>0</v>
      </c>
      <c r="N8" s="19">
        <v>0</v>
      </c>
      <c r="O8" s="39" t="s">
        <v>346</v>
      </c>
      <c r="P8" s="7">
        <f t="shared" si="0"/>
        <v>0</v>
      </c>
    </row>
    <row r="9" spans="1:16" x14ac:dyDescent="0.35">
      <c r="A9" s="3" t="s">
        <v>21</v>
      </c>
      <c r="B9" s="16">
        <v>4.6165611941257866E-3</v>
      </c>
      <c r="C9" s="8" t="s">
        <v>21</v>
      </c>
      <c r="D9" s="33" t="str">
        <f t="shared" ref="D9:D10" si="2">IF(B9&lt;0.000083,"Yes","No")</f>
        <v>No</v>
      </c>
      <c r="E9" s="74">
        <v>18869.169999999998</v>
      </c>
      <c r="F9" s="19">
        <v>13762.46</v>
      </c>
      <c r="G9" s="19">
        <f>$B9*'CVS Payments'!E$20</f>
        <v>33773.086028095495</v>
      </c>
      <c r="H9" s="19">
        <f>$B9*'CVS Payments'!F$20</f>
        <v>33773.086028095495</v>
      </c>
      <c r="I9" s="19">
        <f>$B9*'CVS Payments'!G$20</f>
        <v>33773.086028095495</v>
      </c>
      <c r="J9" s="19">
        <f>$B9*'CVS Payments'!H$20</f>
        <v>33773.086028095495</v>
      </c>
      <c r="K9" s="19">
        <f>$B9*'CVS Payments'!I$20</f>
        <v>32085.770702613536</v>
      </c>
      <c r="L9" s="19">
        <f>$B9*'CVS Payments'!J$20</f>
        <v>30398.455307861543</v>
      </c>
      <c r="M9" s="19">
        <f>$B9*'CVS Payments'!K$20</f>
        <v>30371.676828455747</v>
      </c>
      <c r="N9" s="19">
        <f>$B9*'CVS Payments'!L$20</f>
        <v>30371.676828455747</v>
      </c>
      <c r="O9" s="39" t="s">
        <v>346</v>
      </c>
      <c r="P9" s="7">
        <f t="shared" si="0"/>
        <v>290951.55377976858</v>
      </c>
    </row>
    <row r="10" spans="1:16" x14ac:dyDescent="0.35">
      <c r="A10" s="3" t="s">
        <v>22</v>
      </c>
      <c r="B10" s="16">
        <v>6.4220260878837781E-4</v>
      </c>
      <c r="C10" s="8" t="s">
        <v>23</v>
      </c>
      <c r="D10" s="33" t="str">
        <f t="shared" si="2"/>
        <v>No</v>
      </c>
      <c r="E10" s="74">
        <v>2624.86</v>
      </c>
      <c r="F10" s="19">
        <v>1914.47</v>
      </c>
      <c r="G10" s="19">
        <f>$B10*'CVS Payments'!E$20</f>
        <v>4698.1211863226263</v>
      </c>
      <c r="H10" s="19">
        <f>$B10*'CVS Payments'!F$20</f>
        <v>4698.1211863226263</v>
      </c>
      <c r="I10" s="19">
        <f>$B10*'CVS Payments'!G$20</f>
        <v>4698.1211863226263</v>
      </c>
      <c r="J10" s="19">
        <f>$B10*'CVS Payments'!H$20</f>
        <v>4698.1211863226263</v>
      </c>
      <c r="K10" s="19">
        <f>$B10*'CVS Payments'!I$20</f>
        <v>4463.4013898533585</v>
      </c>
      <c r="L10" s="19">
        <f>$B10*'CVS Payments'!J$20</f>
        <v>4228.6815837480444</v>
      </c>
      <c r="M10" s="19">
        <f>$B10*'CVS Payments'!K$20</f>
        <v>4224.9564713514692</v>
      </c>
      <c r="N10" s="19">
        <f>$B10*'CVS Payments'!L$20</f>
        <v>4224.9564713514692</v>
      </c>
      <c r="O10" s="39" t="s">
        <v>346</v>
      </c>
      <c r="P10" s="7">
        <f t="shared" si="0"/>
        <v>40473.810661594849</v>
      </c>
    </row>
    <row r="11" spans="1:16" x14ac:dyDescent="0.35">
      <c r="A11" s="3" t="s">
        <v>24</v>
      </c>
      <c r="B11" s="16">
        <v>4.6474904547300034E-5</v>
      </c>
      <c r="C11" s="8" t="s">
        <v>25</v>
      </c>
      <c r="D11" s="8" t="s">
        <v>337</v>
      </c>
      <c r="E11" s="74">
        <v>0</v>
      </c>
      <c r="F11" s="19">
        <v>0</v>
      </c>
      <c r="G11" s="19">
        <v>0</v>
      </c>
      <c r="H11" s="19">
        <v>0</v>
      </c>
      <c r="I11" s="19">
        <v>0</v>
      </c>
      <c r="J11" s="19">
        <v>0</v>
      </c>
      <c r="K11" s="19">
        <v>0</v>
      </c>
      <c r="L11" s="19">
        <v>0</v>
      </c>
      <c r="M11" s="19">
        <v>0</v>
      </c>
      <c r="N11" s="19">
        <v>0</v>
      </c>
      <c r="O11" s="39" t="s">
        <v>346</v>
      </c>
      <c r="P11" s="7">
        <f t="shared" si="0"/>
        <v>0</v>
      </c>
    </row>
    <row r="12" spans="1:16" x14ac:dyDescent="0.35">
      <c r="A12" s="3" t="s">
        <v>26</v>
      </c>
      <c r="B12" s="16">
        <v>3.5525680747200005E-3</v>
      </c>
      <c r="C12" s="8" t="s">
        <v>26</v>
      </c>
      <c r="D12" s="33" t="str">
        <f t="shared" ref="D12:D15" si="3">IF(B12&lt;0.000083,"Yes","No")</f>
        <v>No</v>
      </c>
      <c r="E12" s="74">
        <v>14520.34</v>
      </c>
      <c r="F12" s="19">
        <v>10590.59</v>
      </c>
      <c r="G12" s="19">
        <f>$B12*'CVS Payments'!E$20</f>
        <v>25989.298562932694</v>
      </c>
      <c r="H12" s="19">
        <f>$B12*'CVS Payments'!F$20</f>
        <v>25989.298562932694</v>
      </c>
      <c r="I12" s="19">
        <f>$B12*'CVS Payments'!G$20</f>
        <v>25989.298562932694</v>
      </c>
      <c r="J12" s="19">
        <f>$B12*'CVS Payments'!H$20</f>
        <v>25989.298562932694</v>
      </c>
      <c r="K12" s="19">
        <f>$B12*'CVS Payments'!I$20</f>
        <v>24690.864012791724</v>
      </c>
      <c r="L12" s="19">
        <f>$B12*'CVS Payments'!J$20</f>
        <v>23392.429409345594</v>
      </c>
      <c r="M12" s="19">
        <f>$B12*'CVS Payments'!K$20</f>
        <v>23371.822648809717</v>
      </c>
      <c r="N12" s="19">
        <f>$B12*'CVS Payments'!L$20</f>
        <v>23371.822648809717</v>
      </c>
      <c r="O12" s="39" t="s">
        <v>346</v>
      </c>
      <c r="P12" s="7">
        <f t="shared" si="0"/>
        <v>223895.06297148755</v>
      </c>
    </row>
    <row r="13" spans="1:16" x14ac:dyDescent="0.35">
      <c r="A13" s="3" t="s">
        <v>14</v>
      </c>
      <c r="B13" s="16">
        <v>1.5193823261242404E-5</v>
      </c>
      <c r="C13" s="8" t="s">
        <v>27</v>
      </c>
      <c r="D13" s="33" t="str">
        <f t="shared" si="3"/>
        <v>Yes</v>
      </c>
      <c r="E13" s="74">
        <v>1013.6</v>
      </c>
      <c r="F13" s="19">
        <v>0</v>
      </c>
      <c r="G13" s="52">
        <f>$B13*'CVS Payments'!E$20</f>
        <v>111.15249609396527</v>
      </c>
      <c r="H13" s="52">
        <f>$B13*'CVS Payments'!F$20</f>
        <v>111.15249609396527</v>
      </c>
      <c r="I13" s="52">
        <f>$B13*'CVS Payments'!G$20</f>
        <v>111.15249609396527</v>
      </c>
      <c r="J13" s="52">
        <f>$B13*'CVS Payments'!H$20</f>
        <v>111.15249609396527</v>
      </c>
      <c r="K13" s="52">
        <f>$B13*'CVS Payments'!I$20</f>
        <v>105.59927806796372</v>
      </c>
      <c r="L13" s="52">
        <f>$B13*'CVS Payments'!J$20</f>
        <v>100.04605981398367</v>
      </c>
      <c r="M13" s="52">
        <f>$B13*'CVS Payments'!K$20</f>
        <v>99.95792765972692</v>
      </c>
      <c r="N13" s="52">
        <f>$B13*'CVS Payments'!L$20</f>
        <v>99.95792765972692</v>
      </c>
      <c r="O13" s="39" t="s">
        <v>346</v>
      </c>
      <c r="P13" s="7">
        <f>E13</f>
        <v>1013.6</v>
      </c>
    </row>
    <row r="14" spans="1:16" x14ac:dyDescent="0.35">
      <c r="A14" s="3" t="s">
        <v>28</v>
      </c>
      <c r="B14" s="16">
        <v>2.7679777928632894E-3</v>
      </c>
      <c r="C14" s="8" t="s">
        <v>29</v>
      </c>
      <c r="D14" s="33" t="str">
        <f t="shared" si="3"/>
        <v>No</v>
      </c>
      <c r="E14" s="74">
        <v>11313.5</v>
      </c>
      <c r="F14" s="19">
        <v>8251.64</v>
      </c>
      <c r="G14" s="19">
        <f>$B14*'CVS Payments'!E$20</f>
        <v>20249.520842738912</v>
      </c>
      <c r="H14" s="19">
        <f>$B14*'CVS Payments'!F$20</f>
        <v>20249.520842738912</v>
      </c>
      <c r="I14" s="19">
        <f>$B14*'CVS Payments'!G$20</f>
        <v>20249.520842738912</v>
      </c>
      <c r="J14" s="19">
        <f>$B14*'CVS Payments'!H$20</f>
        <v>20249.520842738912</v>
      </c>
      <c r="K14" s="19">
        <f>$B14*'CVS Payments'!I$20</f>
        <v>19237.847617994328</v>
      </c>
      <c r="L14" s="19">
        <f>$B14*'CVS Payments'!J$20</f>
        <v>18226.174351717113</v>
      </c>
      <c r="M14" s="19">
        <f>$B14*'CVS Payments'!K$20</f>
        <v>18210.118626859356</v>
      </c>
      <c r="N14" s="19">
        <f>$B14*'CVS Payments'!L$20</f>
        <v>18210.118626859356</v>
      </c>
      <c r="O14" s="39" t="s">
        <v>346</v>
      </c>
      <c r="P14" s="7">
        <f t="shared" si="0"/>
        <v>174447.4825943858</v>
      </c>
    </row>
    <row r="15" spans="1:16" x14ac:dyDescent="0.35">
      <c r="A15" s="3" t="s">
        <v>30</v>
      </c>
      <c r="B15" s="16">
        <v>2.6667265464000002E-3</v>
      </c>
      <c r="C15" s="8" t="s">
        <v>30</v>
      </c>
      <c r="D15" s="33" t="str">
        <f t="shared" si="3"/>
        <v>No</v>
      </c>
      <c r="E15" s="74">
        <v>10899.65</v>
      </c>
      <c r="F15" s="19">
        <v>7949.8</v>
      </c>
      <c r="G15" s="19">
        <f>$B15*'CVS Payments'!E$20</f>
        <v>19508.803474666831</v>
      </c>
      <c r="H15" s="19">
        <f>$B15*'CVS Payments'!F$20</f>
        <v>19508.803474666831</v>
      </c>
      <c r="I15" s="19">
        <f>$B15*'CVS Payments'!G$20</f>
        <v>19508.803474666831</v>
      </c>
      <c r="J15" s="19">
        <f>$B15*'CVS Payments'!H$20</f>
        <v>19508.803474666831</v>
      </c>
      <c r="K15" s="19">
        <f>$B15*'CVS Payments'!I$20</f>
        <v>18534.136751666236</v>
      </c>
      <c r="L15" s="19">
        <f>$B15*'CVS Payments'!J$20</f>
        <v>17559.469988652258</v>
      </c>
      <c r="M15" s="19">
        <f>$B15*'CVS Payments'!K$20</f>
        <v>17544.001574198111</v>
      </c>
      <c r="N15" s="19">
        <f>$B15*'CVS Payments'!L$20</f>
        <v>17544.001574198111</v>
      </c>
      <c r="O15" s="39" t="s">
        <v>346</v>
      </c>
      <c r="P15" s="7">
        <f t="shared" si="0"/>
        <v>168066.273787382</v>
      </c>
    </row>
    <row r="16" spans="1:16" x14ac:dyDescent="0.35">
      <c r="A16" s="3" t="s">
        <v>31</v>
      </c>
      <c r="B16" s="16">
        <v>7.8474941674770205E-6</v>
      </c>
      <c r="C16" s="8" t="s">
        <v>32</v>
      </c>
      <c r="D16" s="8" t="s">
        <v>337</v>
      </c>
      <c r="E16" s="74">
        <v>0</v>
      </c>
      <c r="F16" s="19">
        <v>0</v>
      </c>
      <c r="G16" s="19">
        <v>0</v>
      </c>
      <c r="H16" s="19">
        <v>0</v>
      </c>
      <c r="I16" s="19">
        <v>0</v>
      </c>
      <c r="J16" s="19">
        <v>0</v>
      </c>
      <c r="K16" s="19">
        <v>0</v>
      </c>
      <c r="L16" s="19">
        <v>0</v>
      </c>
      <c r="M16" s="19">
        <v>0</v>
      </c>
      <c r="N16" s="19">
        <v>0</v>
      </c>
      <c r="O16" s="39" t="s">
        <v>346</v>
      </c>
      <c r="P16" s="7">
        <f t="shared" si="0"/>
        <v>0</v>
      </c>
    </row>
    <row r="17" spans="1:16" x14ac:dyDescent="0.35">
      <c r="A17" s="3" t="s">
        <v>33</v>
      </c>
      <c r="B17" s="16">
        <v>1.8055048905600002E-3</v>
      </c>
      <c r="C17" s="8" t="s">
        <v>33</v>
      </c>
      <c r="D17" s="33" t="str">
        <f t="shared" ref="D17:D33" si="4">IF(B17&lt;0.000083,"Yes","No")</f>
        <v>No</v>
      </c>
      <c r="E17" s="74">
        <v>7379.6</v>
      </c>
      <c r="F17" s="19">
        <v>5382.4</v>
      </c>
      <c r="G17" s="19">
        <f>$B17*'CVS Payments'!E$20</f>
        <v>13208.418437216666</v>
      </c>
      <c r="H17" s="19">
        <f>$B17*'CVS Payments'!F$20</f>
        <v>13208.418437216666</v>
      </c>
      <c r="I17" s="19">
        <f>$B17*'CVS Payments'!G$20</f>
        <v>13208.418437216666</v>
      </c>
      <c r="J17" s="19">
        <f>$B17*'CVS Payments'!H$20</f>
        <v>13208.418437216666</v>
      </c>
      <c r="K17" s="19">
        <f>$B17*'CVS Payments'!I$20</f>
        <v>12548.521179502224</v>
      </c>
      <c r="L17" s="19">
        <f>$B17*'CVS Payments'!J$20</f>
        <v>11888.623894696755</v>
      </c>
      <c r="M17" s="19">
        <f>$B17*'CVS Payments'!K$20</f>
        <v>11878.151018134338</v>
      </c>
      <c r="N17" s="19">
        <f>$B17*'CVS Payments'!L$20</f>
        <v>11878.151018134338</v>
      </c>
      <c r="O17" s="39" t="s">
        <v>346</v>
      </c>
      <c r="P17" s="7">
        <f t="shared" si="0"/>
        <v>113789.12085933429</v>
      </c>
    </row>
    <row r="18" spans="1:16" x14ac:dyDescent="0.35">
      <c r="A18" s="3" t="s">
        <v>34</v>
      </c>
      <c r="B18" s="16">
        <v>7.0325055618421011E-4</v>
      </c>
      <c r="C18" s="8" t="s">
        <v>35</v>
      </c>
      <c r="D18" s="33" t="str">
        <f t="shared" si="4"/>
        <v>No</v>
      </c>
      <c r="E18" s="74">
        <v>2874.38</v>
      </c>
      <c r="F18" s="19">
        <v>2096.4699999999998</v>
      </c>
      <c r="G18" s="19">
        <f>$B18*'CVS Payments'!E$20</f>
        <v>5144.725810964349</v>
      </c>
      <c r="H18" s="19">
        <f>$B18*'CVS Payments'!F$20</f>
        <v>5144.725810964349</v>
      </c>
      <c r="I18" s="19">
        <f>$B18*'CVS Payments'!G$20</f>
        <v>5144.725810964349</v>
      </c>
      <c r="J18" s="19">
        <f>$B18*'CVS Payments'!H$20</f>
        <v>5144.725810964349</v>
      </c>
      <c r="K18" s="19">
        <f>$B18*'CVS Payments'!I$20</f>
        <v>4887.6934894577716</v>
      </c>
      <c r="L18" s="19">
        <f>$B18*'CVS Payments'!J$20</f>
        <v>4630.6611573991431</v>
      </c>
      <c r="M18" s="19">
        <f>$B18*'CVS Payments'!K$20</f>
        <v>4626.5819348471159</v>
      </c>
      <c r="N18" s="19">
        <f>$B18*'CVS Payments'!L$20</f>
        <v>4626.5819348471159</v>
      </c>
      <c r="O18" s="39" t="s">
        <v>346</v>
      </c>
      <c r="P18" s="7">
        <f t="shared" si="0"/>
        <v>44321.271760408534</v>
      </c>
    </row>
    <row r="19" spans="1:16" x14ac:dyDescent="0.35">
      <c r="A19" s="3" t="s">
        <v>36</v>
      </c>
      <c r="B19" s="16">
        <v>6.5282391823994206E-5</v>
      </c>
      <c r="C19" s="8" t="s">
        <v>37</v>
      </c>
      <c r="D19" s="33" t="str">
        <f t="shared" si="4"/>
        <v>Yes</v>
      </c>
      <c r="E19" s="74">
        <v>0</v>
      </c>
      <c r="F19" s="19">
        <v>0</v>
      </c>
      <c r="G19" s="52">
        <f>$B19*'CVS Payments'!E$20</f>
        <v>477.58228310652839</v>
      </c>
      <c r="H19" s="52">
        <f>$B19*'CVS Payments'!F$20</f>
        <v>477.58228310652839</v>
      </c>
      <c r="I19" s="52">
        <f>$B19*'CVS Payments'!G$20</f>
        <v>477.58228310652839</v>
      </c>
      <c r="J19" s="52">
        <f>$B19*'CVS Payments'!H$20</f>
        <v>477.58228310652839</v>
      </c>
      <c r="K19" s="52">
        <f>$B19*'CVS Payments'!I$20</f>
        <v>453.72210329370512</v>
      </c>
      <c r="L19" s="52">
        <f>$B19*'CVS Payments'!J$20</f>
        <v>429.86192250134025</v>
      </c>
      <c r="M19" s="52">
        <f>$B19*'CVS Payments'!K$20</f>
        <v>429.48325034440143</v>
      </c>
      <c r="N19" s="52">
        <f>$B19*'CVS Payments'!L$20</f>
        <v>429.48325034440143</v>
      </c>
      <c r="O19" s="39" t="s">
        <v>346</v>
      </c>
      <c r="P19" s="7">
        <f>E19</f>
        <v>0</v>
      </c>
    </row>
    <row r="20" spans="1:16" x14ac:dyDescent="0.35">
      <c r="A20" s="3" t="s">
        <v>38</v>
      </c>
      <c r="B20" s="16">
        <v>8.3004606496000003E-4</v>
      </c>
      <c r="C20" s="8" t="s">
        <v>38</v>
      </c>
      <c r="D20" s="33" t="str">
        <f t="shared" si="4"/>
        <v>No</v>
      </c>
      <c r="E20" s="74">
        <v>3392.63</v>
      </c>
      <c r="F20" s="19">
        <v>2474.46</v>
      </c>
      <c r="G20" s="19">
        <f>$B20*'CVS Payments'!E$20</f>
        <v>6072.3157303419484</v>
      </c>
      <c r="H20" s="19">
        <f>$B20*'CVS Payments'!F$20</f>
        <v>6072.3157303419484</v>
      </c>
      <c r="I20" s="19">
        <f>$B20*'CVS Payments'!G$20</f>
        <v>6072.3157303419484</v>
      </c>
      <c r="J20" s="19">
        <f>$B20*'CVS Payments'!H$20</f>
        <v>6072.3157303419484</v>
      </c>
      <c r="K20" s="19">
        <f>$B20*'CVS Payments'!I$20</f>
        <v>5768.940688320391</v>
      </c>
      <c r="L20" s="19">
        <f>$B20*'CVS Payments'!J$20</f>
        <v>5465.5656338442559</v>
      </c>
      <c r="M20" s="19">
        <f>$B20*'CVS Payments'!K$20</f>
        <v>5460.7509307521204</v>
      </c>
      <c r="N20" s="19">
        <f>$B20*'CVS Payments'!L$20</f>
        <v>5460.7509307521204</v>
      </c>
      <c r="O20" s="39" t="s">
        <v>346</v>
      </c>
      <c r="P20" s="7">
        <f t="shared" si="0"/>
        <v>52312.361105036682</v>
      </c>
    </row>
    <row r="21" spans="1:16" x14ac:dyDescent="0.35">
      <c r="A21" s="3" t="s">
        <v>39</v>
      </c>
      <c r="B21" s="16">
        <v>2.5871914761609301E-3</v>
      </c>
      <c r="C21" s="8" t="s">
        <v>39</v>
      </c>
      <c r="D21" s="33" t="str">
        <f t="shared" si="4"/>
        <v>No</v>
      </c>
      <c r="E21" s="74">
        <v>10574.57</v>
      </c>
      <c r="F21" s="19">
        <v>7712.69</v>
      </c>
      <c r="G21" s="19">
        <f>$B21*'CVS Payments'!E$20</f>
        <v>18926.953769554584</v>
      </c>
      <c r="H21" s="19">
        <f>$B21*'CVS Payments'!F$20</f>
        <v>18926.953769554584</v>
      </c>
      <c r="I21" s="19">
        <f>$B21*'CVS Payments'!G$20</f>
        <v>18926.953769554584</v>
      </c>
      <c r="J21" s="19">
        <f>$B21*'CVS Payments'!H$20</f>
        <v>18926.953769554584</v>
      </c>
      <c r="K21" s="19">
        <f>$B21*'CVS Payments'!I$20</f>
        <v>17981.356463655709</v>
      </c>
      <c r="L21" s="19">
        <f>$B21*'CVS Payments'!J$20</f>
        <v>17035.75911893685</v>
      </c>
      <c r="M21" s="19">
        <f>$B21*'CVS Payments'!K$20</f>
        <v>17020.752049659535</v>
      </c>
      <c r="N21" s="19">
        <f>$B21*'CVS Payments'!L$20</f>
        <v>17020.752049659535</v>
      </c>
      <c r="O21" s="39" t="s">
        <v>346</v>
      </c>
      <c r="P21" s="7">
        <f t="shared" si="0"/>
        <v>163053.69476012996</v>
      </c>
    </row>
    <row r="22" spans="1:16" x14ac:dyDescent="0.35">
      <c r="A22" s="3" t="s">
        <v>40</v>
      </c>
      <c r="B22" s="16">
        <v>3.2146033236360054E-4</v>
      </c>
      <c r="C22" s="8" t="s">
        <v>41</v>
      </c>
      <c r="D22" s="33" t="str">
        <f t="shared" si="4"/>
        <v>No</v>
      </c>
      <c r="E22" s="74">
        <v>1313.9</v>
      </c>
      <c r="F22" s="19">
        <v>958.31</v>
      </c>
      <c r="G22" s="19">
        <f>$B22*'CVS Payments'!E$20</f>
        <v>2351.6871114695423</v>
      </c>
      <c r="H22" s="19">
        <f>$B22*'CVS Payments'!F$20</f>
        <v>2351.6871114695423</v>
      </c>
      <c r="I22" s="19">
        <f>$B22*'CVS Payments'!G$20</f>
        <v>2351.6871114695423</v>
      </c>
      <c r="J22" s="19">
        <f>$B22*'CVS Payments'!H$20</f>
        <v>2351.6871114695423</v>
      </c>
      <c r="K22" s="19">
        <f>$B22*'CVS Payments'!I$20</f>
        <v>2234.1959914510758</v>
      </c>
      <c r="L22" s="19">
        <f>$B22*'CVS Payments'!J$20</f>
        <v>2116.7048666091991</v>
      </c>
      <c r="M22" s="19">
        <f>$B22*'CVS Payments'!K$20</f>
        <v>2114.8402278601384</v>
      </c>
      <c r="N22" s="19">
        <f>$B22*'CVS Payments'!L$20</f>
        <v>2114.8402278601384</v>
      </c>
      <c r="O22" s="39" t="s">
        <v>346</v>
      </c>
      <c r="P22" s="7">
        <f t="shared" si="0"/>
        <v>20259.539759658721</v>
      </c>
    </row>
    <row r="23" spans="1:16" x14ac:dyDescent="0.35">
      <c r="A23" s="3" t="s">
        <v>42</v>
      </c>
      <c r="B23" s="16">
        <v>2.0458170565343893E-3</v>
      </c>
      <c r="C23" s="8" t="s">
        <v>43</v>
      </c>
      <c r="D23" s="33" t="str">
        <f t="shared" si="4"/>
        <v>No</v>
      </c>
      <c r="E23" s="74">
        <v>8361.82</v>
      </c>
      <c r="F23" s="19">
        <v>6098.8</v>
      </c>
      <c r="G23" s="19">
        <f>$B23*'CVS Payments'!E$20</f>
        <v>14966.455017643259</v>
      </c>
      <c r="H23" s="19">
        <f>$B23*'CVS Payments'!F$20</f>
        <v>14966.455017643259</v>
      </c>
      <c r="I23" s="19">
        <f>$B23*'CVS Payments'!G$20</f>
        <v>14966.455017643259</v>
      </c>
      <c r="J23" s="19">
        <f>$B23*'CVS Payments'!H$20</f>
        <v>14966.455017643259</v>
      </c>
      <c r="K23" s="19">
        <f>$B23*'CVS Payments'!I$20</f>
        <v>14218.725630450213</v>
      </c>
      <c r="L23" s="19">
        <f>$B23*'CVS Payments'!J$20</f>
        <v>13470.996212560334</v>
      </c>
      <c r="M23" s="19">
        <f>$B23*'CVS Payments'!K$20</f>
        <v>13459.129399230504</v>
      </c>
      <c r="N23" s="19">
        <f>$B23*'CVS Payments'!L$20</f>
        <v>13459.129399230504</v>
      </c>
      <c r="O23" s="39" t="s">
        <v>346</v>
      </c>
      <c r="P23" s="7">
        <f t="shared" si="0"/>
        <v>128934.42071204458</v>
      </c>
    </row>
    <row r="24" spans="1:16" x14ac:dyDescent="0.35">
      <c r="A24" s="3" t="s">
        <v>36</v>
      </c>
      <c r="B24" s="16">
        <v>6.8586365358145425E-4</v>
      </c>
      <c r="C24" s="8" t="s">
        <v>44</v>
      </c>
      <c r="D24" s="33" t="str">
        <f t="shared" si="4"/>
        <v>No</v>
      </c>
      <c r="E24" s="74">
        <v>2803.32</v>
      </c>
      <c r="F24" s="19">
        <v>2044.63</v>
      </c>
      <c r="G24" s="19">
        <f>$B24*'CVS Payments'!E$20</f>
        <v>5017.5295424274627</v>
      </c>
      <c r="H24" s="19">
        <f>$B24*'CVS Payments'!F$20</f>
        <v>5017.5295424274627</v>
      </c>
      <c r="I24" s="19">
        <f>$B24*'CVS Payments'!G$20</f>
        <v>5017.5295424274627</v>
      </c>
      <c r="J24" s="19">
        <f>$B24*'CVS Payments'!H$20</f>
        <v>5017.5295424274627</v>
      </c>
      <c r="K24" s="19">
        <f>$B24*'CVS Payments'!I$20</f>
        <v>4766.8519914937569</v>
      </c>
      <c r="L24" s="19">
        <f>$B24*'CVS Payments'!J$20</f>
        <v>4516.1744302688849</v>
      </c>
      <c r="M24" s="19">
        <f>$B24*'CVS Payments'!K$20</f>
        <v>4512.196060883035</v>
      </c>
      <c r="N24" s="19">
        <f>$B24*'CVS Payments'!L$20</f>
        <v>4512.196060883035</v>
      </c>
      <c r="O24" s="39" t="s">
        <v>346</v>
      </c>
      <c r="P24" s="7">
        <f t="shared" si="0"/>
        <v>43225.486713238563</v>
      </c>
    </row>
    <row r="25" spans="1:16" x14ac:dyDescent="0.35">
      <c r="A25" s="3" t="s">
        <v>36</v>
      </c>
      <c r="B25" s="16">
        <v>1.2330105690560002E-2</v>
      </c>
      <c r="C25" s="8" t="s">
        <v>36</v>
      </c>
      <c r="D25" s="33" t="str">
        <f t="shared" si="4"/>
        <v>No</v>
      </c>
      <c r="E25" s="74">
        <v>56512.62</v>
      </c>
      <c r="F25" s="19">
        <v>36757.370000000003</v>
      </c>
      <c r="G25" s="19">
        <f>$B25*'CVS Payments'!E$20</f>
        <v>90202.577787263377</v>
      </c>
      <c r="H25" s="19">
        <f>$B25*'CVS Payments'!F$20</f>
        <v>90202.577787263377</v>
      </c>
      <c r="I25" s="19">
        <f>$B25*'CVS Payments'!G$20</f>
        <v>90202.577787263377</v>
      </c>
      <c r="J25" s="19">
        <f>$B25*'CVS Payments'!H$20</f>
        <v>90202.577787263377</v>
      </c>
      <c r="K25" s="19">
        <f>$B25*'CVS Payments'!I$20</f>
        <v>85696.025091077594</v>
      </c>
      <c r="L25" s="19">
        <f>$B25*'CVS Payments'!J$20</f>
        <v>81189.4722098825</v>
      </c>
      <c r="M25" s="19">
        <f>$B25*'CVS Payments'!K$20</f>
        <v>81117.951121474514</v>
      </c>
      <c r="N25" s="19">
        <f>$B25*'CVS Payments'!L$20</f>
        <v>81117.951121474514</v>
      </c>
      <c r="O25" s="39" t="s">
        <v>346</v>
      </c>
      <c r="P25" s="7">
        <f t="shared" si="0"/>
        <v>783201.70069296251</v>
      </c>
    </row>
    <row r="26" spans="1:16" x14ac:dyDescent="0.35">
      <c r="A26" s="3" t="s">
        <v>45</v>
      </c>
      <c r="B26" s="16">
        <v>2.465424421072565E-4</v>
      </c>
      <c r="C26" s="8" t="s">
        <v>46</v>
      </c>
      <c r="D26" s="33" t="str">
        <f t="shared" si="4"/>
        <v>No</v>
      </c>
      <c r="E26" s="74">
        <v>1007.69</v>
      </c>
      <c r="F26" s="19">
        <v>734.97</v>
      </c>
      <c r="G26" s="19">
        <f>$B26*'CVS Payments'!E$20</f>
        <v>1803.615019218189</v>
      </c>
      <c r="H26" s="19">
        <f>$B26*'CVS Payments'!F$20</f>
        <v>1803.615019218189</v>
      </c>
      <c r="I26" s="19">
        <f>$B26*'CVS Payments'!G$20</f>
        <v>1803.615019218189</v>
      </c>
      <c r="J26" s="19">
        <f>$B26*'CVS Payments'!H$20</f>
        <v>1803.615019218189</v>
      </c>
      <c r="K26" s="19">
        <f>$B26*'CVS Payments'!I$20</f>
        <v>1713.5057748137949</v>
      </c>
      <c r="L26" s="19">
        <f>$B26*'CVS Payments'!J$20</f>
        <v>1623.3965267101098</v>
      </c>
      <c r="M26" s="19">
        <f>$B26*'CVS Payments'!K$20</f>
        <v>1621.9664510691707</v>
      </c>
      <c r="N26" s="19">
        <f>$B26*'CVS Payments'!L$20</f>
        <v>1621.9664510691707</v>
      </c>
      <c r="O26" s="39" t="s">
        <v>346</v>
      </c>
      <c r="P26" s="7">
        <f t="shared" si="0"/>
        <v>15537.955280535003</v>
      </c>
    </row>
    <row r="27" spans="1:16" x14ac:dyDescent="0.35">
      <c r="A27" s="3" t="s">
        <v>47</v>
      </c>
      <c r="B27" s="16">
        <v>5.4211718464369893E-4</v>
      </c>
      <c r="C27" s="8" t="s">
        <v>48</v>
      </c>
      <c r="D27" s="33" t="str">
        <f t="shared" si="4"/>
        <v>No</v>
      </c>
      <c r="E27" s="74">
        <v>2215.7800000000002</v>
      </c>
      <c r="F27" s="19">
        <v>1616.11</v>
      </c>
      <c r="G27" s="19">
        <f>$B27*'CVS Payments'!E$20</f>
        <v>3965.9325511762536</v>
      </c>
      <c r="H27" s="19">
        <f>$B27*'CVS Payments'!F$20</f>
        <v>3965.9325511762536</v>
      </c>
      <c r="I27" s="19">
        <f>$B27*'CVS Payments'!G$20</f>
        <v>3965.9325511762536</v>
      </c>
      <c r="J27" s="19">
        <f>$B27*'CVS Payments'!H$20</f>
        <v>3965.9325511762536</v>
      </c>
      <c r="K27" s="19">
        <f>$B27*'CVS Payments'!I$20</f>
        <v>3767.7931579368965</v>
      </c>
      <c r="L27" s="19">
        <f>$B27*'CVS Payments'!J$20</f>
        <v>3569.6537565632434</v>
      </c>
      <c r="M27" s="19">
        <f>$B27*'CVS Payments'!K$20</f>
        <v>3566.5091921885783</v>
      </c>
      <c r="N27" s="19">
        <f>$B27*'CVS Payments'!L$20</f>
        <v>3566.5091921885783</v>
      </c>
      <c r="O27" s="39" t="s">
        <v>346</v>
      </c>
      <c r="P27" s="7">
        <f t="shared" si="0"/>
        <v>34166.085503582312</v>
      </c>
    </row>
    <row r="28" spans="1:16" x14ac:dyDescent="0.35">
      <c r="A28" s="3" t="s">
        <v>49</v>
      </c>
      <c r="B28" s="16">
        <v>1.5597090017600002E-3</v>
      </c>
      <c r="C28" s="8" t="s">
        <v>49</v>
      </c>
      <c r="D28" s="33" t="str">
        <f t="shared" si="4"/>
        <v>No</v>
      </c>
      <c r="E28" s="74">
        <v>6374.97</v>
      </c>
      <c r="F28" s="19">
        <v>4649.66</v>
      </c>
      <c r="G28" s="19">
        <f>$B28*'CVS Payments'!E$20</f>
        <v>11410.264931018733</v>
      </c>
      <c r="H28" s="19">
        <f>$B28*'CVS Payments'!F$20</f>
        <v>11410.264931018733</v>
      </c>
      <c r="I28" s="19">
        <f>$B28*'CVS Payments'!G$20</f>
        <v>11410.264931018733</v>
      </c>
      <c r="J28" s="19">
        <f>$B28*'CVS Payments'!H$20</f>
        <v>11410.264931018733</v>
      </c>
      <c r="K28" s="19">
        <f>$B28*'CVS Payments'!I$20</f>
        <v>10840.204058586138</v>
      </c>
      <c r="L28" s="19">
        <f>$B28*'CVS Payments'!J$20</f>
        <v>10270.143162750603</v>
      </c>
      <c r="M28" s="19">
        <f>$B28*'CVS Payments'!K$20</f>
        <v>10261.096031427876</v>
      </c>
      <c r="N28" s="19">
        <f>$B28*'CVS Payments'!L$20</f>
        <v>10261.096031427876</v>
      </c>
      <c r="O28" s="39" t="s">
        <v>346</v>
      </c>
      <c r="P28" s="7">
        <f t="shared" si="0"/>
        <v>98298.22900826743</v>
      </c>
    </row>
    <row r="29" spans="1:16" x14ac:dyDescent="0.35">
      <c r="A29" s="3" t="s">
        <v>34</v>
      </c>
      <c r="B29" s="16">
        <v>2.1448338308180427E-4</v>
      </c>
      <c r="C29" s="8" t="s">
        <v>50</v>
      </c>
      <c r="D29" s="33" t="str">
        <f t="shared" si="4"/>
        <v>No</v>
      </c>
      <c r="E29" s="74">
        <v>876.65</v>
      </c>
      <c r="F29" s="19">
        <v>639.4</v>
      </c>
      <c r="G29" s="19">
        <f>$B29*'CVS Payments'!E$20</f>
        <v>1569.0825798293031</v>
      </c>
      <c r="H29" s="19">
        <f>$B29*'CVS Payments'!F$20</f>
        <v>1569.0825798293031</v>
      </c>
      <c r="I29" s="19">
        <f>$B29*'CVS Payments'!G$20</f>
        <v>1569.0825798293031</v>
      </c>
      <c r="J29" s="19">
        <f>$B29*'CVS Payments'!H$20</f>
        <v>1569.0825798293031</v>
      </c>
      <c r="K29" s="19">
        <f>$B29*'CVS Payments'!I$20</f>
        <v>1490.6906590646358</v>
      </c>
      <c r="L29" s="19">
        <f>$B29*'CVS Payments'!J$20</f>
        <v>1412.2987350817136</v>
      </c>
      <c r="M29" s="19">
        <f>$B29*'CVS Payments'!K$20</f>
        <v>1411.0546188195813</v>
      </c>
      <c r="N29" s="19">
        <f>$B29*'CVS Payments'!L$20</f>
        <v>1411.0546188195813</v>
      </c>
      <c r="O29" s="39" t="s">
        <v>346</v>
      </c>
      <c r="P29" s="7">
        <f t="shared" si="0"/>
        <v>13517.478951102723</v>
      </c>
    </row>
    <row r="30" spans="1:16" x14ac:dyDescent="0.35">
      <c r="A30" s="3" t="s">
        <v>47</v>
      </c>
      <c r="B30" s="16">
        <v>1.4353012866080001E-2</v>
      </c>
      <c r="C30" s="8" t="s">
        <v>47</v>
      </c>
      <c r="D30" s="33" t="str">
        <f t="shared" si="4"/>
        <v>No</v>
      </c>
      <c r="E30" s="74">
        <v>59190.719999999994</v>
      </c>
      <c r="F30" s="19">
        <v>43171.48</v>
      </c>
      <c r="G30" s="19">
        <f>$B30*'CVS Payments'!E$20</f>
        <v>105001.43243097962</v>
      </c>
      <c r="H30" s="19">
        <f>$B30*'CVS Payments'!F$20</f>
        <v>105001.43243097962</v>
      </c>
      <c r="I30" s="19">
        <f>$B30*'CVS Payments'!G$20</f>
        <v>105001.43243097962</v>
      </c>
      <c r="J30" s="19">
        <f>$B30*'CVS Payments'!H$20</f>
        <v>105001.43243097962</v>
      </c>
      <c r="K30" s="19">
        <f>$B30*'CVS Payments'!I$20</f>
        <v>99755.523721572259</v>
      </c>
      <c r="L30" s="19">
        <f>$B30*'CVS Payments'!J$20</f>
        <v>94509.614796802503</v>
      </c>
      <c r="M30" s="19">
        <f>$B30*'CVS Payments'!K$20</f>
        <v>94426.359784406159</v>
      </c>
      <c r="N30" s="19">
        <f>$B30*'CVS Payments'!L$20</f>
        <v>94426.359784406159</v>
      </c>
      <c r="O30" s="39" t="s">
        <v>346</v>
      </c>
      <c r="P30" s="7">
        <f t="shared" si="0"/>
        <v>905485.78781110561</v>
      </c>
    </row>
    <row r="31" spans="1:16" x14ac:dyDescent="0.35">
      <c r="A31" s="3" t="s">
        <v>34</v>
      </c>
      <c r="B31" s="16">
        <v>2.7489343219674764E-4</v>
      </c>
      <c r="C31" s="8" t="s">
        <v>51</v>
      </c>
      <c r="D31" s="33" t="str">
        <f t="shared" si="4"/>
        <v>No</v>
      </c>
      <c r="E31" s="74">
        <v>1123.57</v>
      </c>
      <c r="F31" s="19">
        <v>819.49</v>
      </c>
      <c r="G31" s="19">
        <f>$B31*'CVS Payments'!E$20</f>
        <v>2011.020572185279</v>
      </c>
      <c r="H31" s="19">
        <f>$B31*'CVS Payments'!F$20</f>
        <v>2011.020572185279</v>
      </c>
      <c r="I31" s="19">
        <f>$B31*'CVS Payments'!G$20</f>
        <v>2011.020572185279</v>
      </c>
      <c r="J31" s="19">
        <f>$B31*'CVS Payments'!H$20</f>
        <v>2011.020572185279</v>
      </c>
      <c r="K31" s="19">
        <f>$B31*'CVS Payments'!I$20</f>
        <v>1910.549272983159</v>
      </c>
      <c r="L31" s="19">
        <f>$B31*'CVS Payments'!J$20</f>
        <v>1810.0779696563504</v>
      </c>
      <c r="M31" s="19">
        <f>$B31*'CVS Payments'!K$20</f>
        <v>1808.4834433838005</v>
      </c>
      <c r="N31" s="19">
        <f>$B31*'CVS Payments'!L$20</f>
        <v>1808.4834433838005</v>
      </c>
      <c r="O31" s="39" t="s">
        <v>346</v>
      </c>
      <c r="P31" s="7">
        <f t="shared" si="0"/>
        <v>17324.736418148226</v>
      </c>
    </row>
    <row r="32" spans="1:16" x14ac:dyDescent="0.35">
      <c r="A32" s="3" t="s">
        <v>52</v>
      </c>
      <c r="B32" s="16">
        <v>1.4644445099620517E-4</v>
      </c>
      <c r="C32" s="8" t="s">
        <v>53</v>
      </c>
      <c r="D32" s="33" t="str">
        <f t="shared" si="4"/>
        <v>No</v>
      </c>
      <c r="E32" s="74">
        <v>598.55999999999995</v>
      </c>
      <c r="F32" s="19">
        <v>436.57</v>
      </c>
      <c r="G32" s="19">
        <f>$B32*'CVS Payments'!E$20</f>
        <v>1071.3344487072541</v>
      </c>
      <c r="H32" s="19">
        <f>$B32*'CVS Payments'!F$20</f>
        <v>1071.3344487072541</v>
      </c>
      <c r="I32" s="19">
        <f>$B32*'CVS Payments'!G$20</f>
        <v>1071.3344487072541</v>
      </c>
      <c r="J32" s="19">
        <f>$B32*'CVS Payments'!H$20</f>
        <v>1071.3344487072541</v>
      </c>
      <c r="K32" s="19">
        <f>$B32*'CVS Payments'!I$20</f>
        <v>1017.8102006561069</v>
      </c>
      <c r="L32" s="19">
        <f>$B32*'CVS Payments'!J$20</f>
        <v>964.28595040760729</v>
      </c>
      <c r="M32" s="19">
        <f>$B32*'CVS Payments'!K$20</f>
        <v>963.43649568358364</v>
      </c>
      <c r="N32" s="19">
        <f>$B32*'CVS Payments'!L$20</f>
        <v>963.43649568358364</v>
      </c>
      <c r="O32" s="39" t="s">
        <v>346</v>
      </c>
      <c r="P32" s="7">
        <f t="shared" si="0"/>
        <v>9229.4369372598958</v>
      </c>
    </row>
    <row r="33" spans="1:16" x14ac:dyDescent="0.35">
      <c r="A33" s="3" t="s">
        <v>34</v>
      </c>
      <c r="B33" s="16">
        <v>6.1607165089975981E-4</v>
      </c>
      <c r="C33" s="8" t="s">
        <v>54</v>
      </c>
      <c r="D33" s="33" t="str">
        <f t="shared" si="4"/>
        <v>No</v>
      </c>
      <c r="E33" s="74">
        <v>2518.06</v>
      </c>
      <c r="F33" s="19">
        <v>1836.58</v>
      </c>
      <c r="G33" s="19">
        <f>$B33*'CVS Payments'!E$20</f>
        <v>4506.9565831344826</v>
      </c>
      <c r="H33" s="19">
        <f>$B33*'CVS Payments'!F$20</f>
        <v>4506.9565831344826</v>
      </c>
      <c r="I33" s="19">
        <f>$B33*'CVS Payments'!G$20</f>
        <v>4506.9565831344826</v>
      </c>
      <c r="J33" s="19">
        <f>$B33*'CVS Payments'!H$20</f>
        <v>4506.9565831344826</v>
      </c>
      <c r="K33" s="19">
        <f>$B33*'CVS Payments'!I$20</f>
        <v>4281.7874378666093</v>
      </c>
      <c r="L33" s="19">
        <f>$B33*'CVS Payments'!J$20</f>
        <v>4056.6182833547768</v>
      </c>
      <c r="M33" s="19">
        <f>$B33*'CVS Payments'!K$20</f>
        <v>4053.0447442371533</v>
      </c>
      <c r="N33" s="19">
        <f>$B33*'CVS Payments'!L$20</f>
        <v>4053.0447442371533</v>
      </c>
      <c r="O33" s="39" t="s">
        <v>346</v>
      </c>
      <c r="P33" s="7">
        <f t="shared" si="0"/>
        <v>38826.961542233621</v>
      </c>
    </row>
    <row r="34" spans="1:16" x14ac:dyDescent="0.35">
      <c r="A34" s="3" t="s">
        <v>55</v>
      </c>
      <c r="B34" s="16">
        <v>0</v>
      </c>
      <c r="C34" s="8" t="s">
        <v>56</v>
      </c>
      <c r="D34" s="8" t="s">
        <v>338</v>
      </c>
      <c r="E34" s="74">
        <v>0</v>
      </c>
      <c r="F34" s="19">
        <v>0</v>
      </c>
      <c r="G34" s="19">
        <v>0</v>
      </c>
      <c r="H34" s="19">
        <v>0</v>
      </c>
      <c r="I34" s="19">
        <v>0</v>
      </c>
      <c r="J34" s="19">
        <v>0</v>
      </c>
      <c r="K34" s="19">
        <v>0</v>
      </c>
      <c r="L34" s="19">
        <v>0</v>
      </c>
      <c r="M34" s="19">
        <v>0</v>
      </c>
      <c r="N34" s="19">
        <v>0</v>
      </c>
      <c r="O34" s="39" t="s">
        <v>346</v>
      </c>
      <c r="P34" s="7">
        <f t="shared" si="0"/>
        <v>0</v>
      </c>
    </row>
    <row r="35" spans="1:16" x14ac:dyDescent="0.35">
      <c r="A35" s="3" t="s">
        <v>34</v>
      </c>
      <c r="B35" s="16">
        <v>1.4314410402168545E-3</v>
      </c>
      <c r="C35" s="8" t="s">
        <v>57</v>
      </c>
      <c r="D35" s="33" t="str">
        <f t="shared" ref="D35:D40" si="5">IF(B35&lt;0.000083,"Yes","No")</f>
        <v>No</v>
      </c>
      <c r="E35" s="74">
        <v>5850.7</v>
      </c>
      <c r="F35" s="19">
        <v>4267.28</v>
      </c>
      <c r="G35" s="19">
        <f>$B35*'CVS Payments'!E$20</f>
        <v>10471.903081649718</v>
      </c>
      <c r="H35" s="19">
        <f>$B35*'CVS Payments'!F$20</f>
        <v>10471.903081649718</v>
      </c>
      <c r="I35" s="19">
        <f>$B35*'CVS Payments'!G$20</f>
        <v>10471.903081649718</v>
      </c>
      <c r="J35" s="19">
        <f>$B35*'CVS Payments'!H$20</f>
        <v>10471.903081649718</v>
      </c>
      <c r="K35" s="19">
        <f>$B35*'CVS Payments'!I$20</f>
        <v>9948.7230991651359</v>
      </c>
      <c r="L35" s="19">
        <f>$B35*'CVS Payments'!J$20</f>
        <v>9425.5430952022343</v>
      </c>
      <c r="M35" s="19">
        <f>$B35*'CVS Payments'!K$20</f>
        <v>9417.2399854189553</v>
      </c>
      <c r="N35" s="19">
        <f>$B35*'CVS Payments'!L$20</f>
        <v>9417.2399854189553</v>
      </c>
      <c r="O35" s="39" t="s">
        <v>346</v>
      </c>
      <c r="P35" s="7">
        <f t="shared" si="0"/>
        <v>90214.338491804156</v>
      </c>
    </row>
    <row r="36" spans="1:16" x14ac:dyDescent="0.35">
      <c r="A36" s="3" t="s">
        <v>58</v>
      </c>
      <c r="B36" s="16">
        <v>3.8230209662400007E-3</v>
      </c>
      <c r="C36" s="8" t="s">
        <v>58</v>
      </c>
      <c r="D36" s="33" t="str">
        <f t="shared" si="5"/>
        <v>No</v>
      </c>
      <c r="E36" s="74">
        <v>15625.75</v>
      </c>
      <c r="F36" s="19">
        <v>11396.83</v>
      </c>
      <c r="G36" s="19">
        <f>$B36*'CVS Payments'!E$20</f>
        <v>27967.833751305046</v>
      </c>
      <c r="H36" s="19">
        <f>$B36*'CVS Payments'!F$20</f>
        <v>27967.833751305046</v>
      </c>
      <c r="I36" s="19">
        <f>$B36*'CVS Payments'!G$20</f>
        <v>27967.833751305046</v>
      </c>
      <c r="J36" s="19">
        <f>$B36*'CVS Payments'!H$20</f>
        <v>27967.833751305046</v>
      </c>
      <c r="K36" s="19">
        <f>$B36*'CVS Payments'!I$20</f>
        <v>26570.550883229229</v>
      </c>
      <c r="L36" s="19">
        <f>$B36*'CVS Payments'!J$20</f>
        <v>25173.267957790198</v>
      </c>
      <c r="M36" s="19">
        <f>$B36*'CVS Payments'!K$20</f>
        <v>25151.092428449734</v>
      </c>
      <c r="N36" s="19">
        <f>$B36*'CVS Payments'!L$20</f>
        <v>25151.092428449734</v>
      </c>
      <c r="O36" s="39" t="s">
        <v>346</v>
      </c>
      <c r="P36" s="7">
        <f t="shared" si="0"/>
        <v>240939.91870313912</v>
      </c>
    </row>
    <row r="37" spans="1:16" x14ac:dyDescent="0.35">
      <c r="A37" s="3" t="s">
        <v>34</v>
      </c>
      <c r="B37" s="16">
        <v>1.7834819854661442E-4</v>
      </c>
      <c r="C37" s="8" t="s">
        <v>59</v>
      </c>
      <c r="D37" s="33" t="str">
        <f t="shared" si="5"/>
        <v>No</v>
      </c>
      <c r="E37" s="74">
        <v>728.96</v>
      </c>
      <c r="F37" s="19">
        <v>531.67999999999995</v>
      </c>
      <c r="G37" s="19">
        <f>$B37*'CVS Payments'!E$20</f>
        <v>1304.7306857179606</v>
      </c>
      <c r="H37" s="19">
        <f>$B37*'CVS Payments'!F$20</f>
        <v>1304.7306857179606</v>
      </c>
      <c r="I37" s="19">
        <f>$B37*'CVS Payments'!G$20</f>
        <v>1304.7306857179606</v>
      </c>
      <c r="J37" s="19">
        <f>$B37*'CVS Payments'!H$20</f>
        <v>1304.7306857179606</v>
      </c>
      <c r="K37" s="19">
        <f>$B37*'CVS Payments'!I$20</f>
        <v>1239.5458790998416</v>
      </c>
      <c r="L37" s="19">
        <f>$B37*'CVS Payments'!J$20</f>
        <v>1174.3610698056648</v>
      </c>
      <c r="M37" s="19">
        <f>$B37*'CVS Payments'!K$20</f>
        <v>1173.3265565909546</v>
      </c>
      <c r="N37" s="19">
        <f>$B37*'CVS Payments'!L$20</f>
        <v>1173.3265565909546</v>
      </c>
      <c r="O37" s="39" t="s">
        <v>346</v>
      </c>
      <c r="P37" s="7">
        <f t="shared" si="0"/>
        <v>11240.122804959259</v>
      </c>
    </row>
    <row r="38" spans="1:16" x14ac:dyDescent="0.35">
      <c r="A38" s="3" t="s">
        <v>60</v>
      </c>
      <c r="B38" s="16">
        <v>6.0493406028165334E-6</v>
      </c>
      <c r="C38" s="8" t="s">
        <v>61</v>
      </c>
      <c r="D38" s="33" t="str">
        <f t="shared" si="5"/>
        <v>Yes</v>
      </c>
      <c r="E38" s="74">
        <v>403.56</v>
      </c>
      <c r="F38" s="19">
        <v>0</v>
      </c>
      <c r="G38" s="52">
        <f>$B38*'CVS Payments'!E$20</f>
        <v>44.254780127714078</v>
      </c>
      <c r="H38" s="52">
        <f>$B38*'CVS Payments'!F$20</f>
        <v>44.254780127714078</v>
      </c>
      <c r="I38" s="52">
        <f>$B38*'CVS Payments'!G$20</f>
        <v>44.254780127714078</v>
      </c>
      <c r="J38" s="52">
        <f>$B38*'CVS Payments'!H$20</f>
        <v>44.254780127714078</v>
      </c>
      <c r="K38" s="52">
        <f>$B38*'CVS Payments'!I$20</f>
        <v>42.043795657026159</v>
      </c>
      <c r="L38" s="52">
        <f>$B38*'CVS Payments'!J$20</f>
        <v>39.832811095569802</v>
      </c>
      <c r="M38" s="52">
        <f>$B38*'CVS Payments'!K$20</f>
        <v>39.797721743140706</v>
      </c>
      <c r="N38" s="52">
        <f>$B38*'CVS Payments'!L$20</f>
        <v>39.797721743140706</v>
      </c>
      <c r="O38" s="39" t="s">
        <v>346</v>
      </c>
      <c r="P38" s="7">
        <f>E38</f>
        <v>403.56</v>
      </c>
    </row>
    <row r="39" spans="1:16" x14ac:dyDescent="0.35">
      <c r="A39" s="3" t="s">
        <v>22</v>
      </c>
      <c r="B39" s="16">
        <v>6.1860133563783337E-4</v>
      </c>
      <c r="C39" s="8" t="s">
        <v>62</v>
      </c>
      <c r="D39" s="33" t="str">
        <f t="shared" si="5"/>
        <v>No</v>
      </c>
      <c r="E39" s="74">
        <v>2528.4</v>
      </c>
      <c r="F39" s="19">
        <v>1844.12</v>
      </c>
      <c r="G39" s="19">
        <f>$B39*'CVS Payments'!E$20</f>
        <v>4525.4628384813477</v>
      </c>
      <c r="H39" s="19">
        <f>$B39*'CVS Payments'!F$20</f>
        <v>4525.4628384813477</v>
      </c>
      <c r="I39" s="19">
        <f>$B39*'CVS Payments'!G$20</f>
        <v>4525.4628384813477</v>
      </c>
      <c r="J39" s="19">
        <f>$B39*'CVS Payments'!H$20</f>
        <v>4525.4628384813477</v>
      </c>
      <c r="K39" s="19">
        <f>$B39*'CVS Payments'!I$20</f>
        <v>4299.3691141495983</v>
      </c>
      <c r="L39" s="19">
        <f>$B39*'CVS Payments'!J$20</f>
        <v>4073.2753805359334</v>
      </c>
      <c r="M39" s="19">
        <f>$B39*'CVS Payments'!K$20</f>
        <v>4069.6871679183137</v>
      </c>
      <c r="N39" s="19">
        <f>$B39*'CVS Payments'!L$20</f>
        <v>4069.6871679183137</v>
      </c>
      <c r="O39" s="39" t="s">
        <v>346</v>
      </c>
      <c r="P39" s="7">
        <f t="shared" si="0"/>
        <v>38986.390184447555</v>
      </c>
    </row>
    <row r="40" spans="1:16" x14ac:dyDescent="0.35">
      <c r="A40" s="3" t="s">
        <v>63</v>
      </c>
      <c r="B40" s="16">
        <v>1.9828741491205145E-4</v>
      </c>
      <c r="C40" s="8" t="s">
        <v>64</v>
      </c>
      <c r="D40" s="33" t="str">
        <f t="shared" si="5"/>
        <v>No</v>
      </c>
      <c r="E40" s="74">
        <v>810.46</v>
      </c>
      <c r="F40" s="19">
        <v>591.12</v>
      </c>
      <c r="G40" s="19">
        <f>$B40*'CVS Payments'!E$20</f>
        <v>1450.5987553321086</v>
      </c>
      <c r="H40" s="19">
        <f>$B40*'CVS Payments'!F$20</f>
        <v>1450.5987553321086</v>
      </c>
      <c r="I40" s="19">
        <f>$B40*'CVS Payments'!G$20</f>
        <v>1450.5987553321086</v>
      </c>
      <c r="J40" s="19">
        <f>$B40*'CVS Payments'!H$20</f>
        <v>1450.5987553321086</v>
      </c>
      <c r="K40" s="19">
        <f>$B40*'CVS Payments'!I$20</f>
        <v>1378.1263283539884</v>
      </c>
      <c r="L40" s="19">
        <f>$B40*'CVS Payments'!J$20</f>
        <v>1305.6538984006286</v>
      </c>
      <c r="M40" s="19">
        <f>$B40*'CVS Payments'!K$20</f>
        <v>1304.5037272595189</v>
      </c>
      <c r="N40" s="19">
        <f>$B40*'CVS Payments'!L$20</f>
        <v>1304.5037272595189</v>
      </c>
      <c r="O40" s="39" t="s">
        <v>346</v>
      </c>
      <c r="P40" s="7">
        <f t="shared" si="0"/>
        <v>12496.762702602087</v>
      </c>
    </row>
    <row r="41" spans="1:16" x14ac:dyDescent="0.35">
      <c r="A41" s="3" t="s">
        <v>14</v>
      </c>
      <c r="B41" s="16">
        <v>8.5803473491828175E-5</v>
      </c>
      <c r="C41" s="8" t="s">
        <v>65</v>
      </c>
      <c r="D41" s="8" t="s">
        <v>337</v>
      </c>
      <c r="E41" s="74">
        <v>0</v>
      </c>
      <c r="F41" s="19">
        <v>0</v>
      </c>
      <c r="G41" s="19">
        <v>0</v>
      </c>
      <c r="H41" s="19">
        <v>0</v>
      </c>
      <c r="I41" s="19">
        <v>0</v>
      </c>
      <c r="J41" s="19">
        <v>0</v>
      </c>
      <c r="K41" s="19">
        <v>0</v>
      </c>
      <c r="L41" s="19">
        <v>0</v>
      </c>
      <c r="M41" s="19">
        <v>0</v>
      </c>
      <c r="N41" s="19">
        <v>0</v>
      </c>
      <c r="O41" s="39" t="s">
        <v>346</v>
      </c>
      <c r="P41" s="7">
        <f t="shared" si="0"/>
        <v>0</v>
      </c>
    </row>
    <row r="42" spans="1:16" x14ac:dyDescent="0.35">
      <c r="A42" s="3" t="s">
        <v>66</v>
      </c>
      <c r="B42" s="16">
        <v>5.9285718408623813E-4</v>
      </c>
      <c r="C42" s="8" t="s">
        <v>67</v>
      </c>
      <c r="D42" s="33" t="str">
        <f t="shared" ref="D42:D57" si="6">IF(B42&lt;0.000083,"Yes","No")</f>
        <v>No</v>
      </c>
      <c r="E42" s="74">
        <v>2423.17</v>
      </c>
      <c r="F42" s="19">
        <v>1767.37</v>
      </c>
      <c r="G42" s="19">
        <f>$B42*'CVS Payments'!E$20</f>
        <v>4337.1279700561927</v>
      </c>
      <c r="H42" s="19">
        <f>$B42*'CVS Payments'!F$20</f>
        <v>4337.1279700561927</v>
      </c>
      <c r="I42" s="19">
        <f>$B42*'CVS Payments'!G$20</f>
        <v>4337.1279700561927</v>
      </c>
      <c r="J42" s="19">
        <f>$B42*'CVS Payments'!H$20</f>
        <v>4337.1279700561927</v>
      </c>
      <c r="K42" s="19">
        <f>$B42*'CVS Payments'!I$20</f>
        <v>4120.4435223760365</v>
      </c>
      <c r="L42" s="19">
        <f>$B42*'CVS Payments'!J$20</f>
        <v>3903.7590658002473</v>
      </c>
      <c r="M42" s="19">
        <f>$B42*'CVS Payments'!K$20</f>
        <v>3900.3201827816852</v>
      </c>
      <c r="N42" s="19">
        <f>$B42*'CVS Payments'!L$20</f>
        <v>3900.3201827816852</v>
      </c>
      <c r="O42" s="39" t="s">
        <v>346</v>
      </c>
      <c r="P42" s="7">
        <f t="shared" si="0"/>
        <v>37363.894833964434</v>
      </c>
    </row>
    <row r="43" spans="1:16" x14ac:dyDescent="0.35">
      <c r="A43" s="3" t="s">
        <v>14</v>
      </c>
      <c r="B43" s="16">
        <v>2.7577829756919563E-5</v>
      </c>
      <c r="C43" s="8" t="s">
        <v>68</v>
      </c>
      <c r="D43" s="33" t="str">
        <f t="shared" si="6"/>
        <v>Yes</v>
      </c>
      <c r="E43" s="74">
        <v>1839.76</v>
      </c>
      <c r="F43" s="19">
        <v>0</v>
      </c>
      <c r="G43" s="52">
        <f>$B43*'CVS Payments'!E$20</f>
        <v>201.74939260714993</v>
      </c>
      <c r="H43" s="52">
        <f>$B43*'CVS Payments'!F$20</f>
        <v>201.74939260714993</v>
      </c>
      <c r="I43" s="52">
        <f>$B43*'CVS Payments'!G$20</f>
        <v>201.74939260714993</v>
      </c>
      <c r="J43" s="52">
        <f>$B43*'CVS Payments'!H$20</f>
        <v>201.74939260714993</v>
      </c>
      <c r="K43" s="52">
        <f>$B43*'CVS Payments'!I$20</f>
        <v>191.66992158192195</v>
      </c>
      <c r="L43" s="52">
        <f>$B43*'CVS Payments'!J$20</f>
        <v>181.5904501428974</v>
      </c>
      <c r="M43" s="52">
        <f>$B43*'CVS Payments'!K$20</f>
        <v>181.43048424725589</v>
      </c>
      <c r="N43" s="52">
        <f>$B43*'CVS Payments'!L$20</f>
        <v>181.43048424725589</v>
      </c>
      <c r="O43" s="39" t="s">
        <v>346</v>
      </c>
      <c r="P43" s="7">
        <f>E43</f>
        <v>1839.76</v>
      </c>
    </row>
    <row r="44" spans="1:16" x14ac:dyDescent="0.35">
      <c r="A44" s="3" t="s">
        <v>42</v>
      </c>
      <c r="B44" s="16">
        <v>1.8505476605280003E-2</v>
      </c>
      <c r="C44" s="8" t="s">
        <v>42</v>
      </c>
      <c r="D44" s="33" t="str">
        <f t="shared" si="6"/>
        <v>No</v>
      </c>
      <c r="E44" s="74">
        <v>75637.039999999994</v>
      </c>
      <c r="F44" s="19">
        <v>55166.81</v>
      </c>
      <c r="G44" s="19">
        <f>$B44*'CVS Payments'!E$20</f>
        <v>135379.34993177981</v>
      </c>
      <c r="H44" s="19">
        <f>$B44*'CVS Payments'!F$20</f>
        <v>135379.34993177981</v>
      </c>
      <c r="I44" s="19">
        <f>$B44*'CVS Payments'!G$20</f>
        <v>135379.34993177981</v>
      </c>
      <c r="J44" s="19">
        <f>$B44*'CVS Payments'!H$20</f>
        <v>135379.34993177981</v>
      </c>
      <c r="K44" s="19">
        <f>$B44*'CVS Payments'!I$20</f>
        <v>128615.7497175841</v>
      </c>
      <c r="L44" s="19">
        <f>$B44*'CVS Payments'!J$20</f>
        <v>121852.14922571958</v>
      </c>
      <c r="M44" s="19">
        <f>$B44*'CVS Payments'!K$20</f>
        <v>121744.80774288611</v>
      </c>
      <c r="N44" s="19">
        <f>$B44*'CVS Payments'!L$20</f>
        <v>121744.80774288611</v>
      </c>
      <c r="O44" s="39" t="s">
        <v>346</v>
      </c>
      <c r="P44" s="7">
        <f t="shared" si="0"/>
        <v>1166278.7641561951</v>
      </c>
    </row>
    <row r="45" spans="1:16" x14ac:dyDescent="0.35">
      <c r="A45" s="3" t="s">
        <v>14</v>
      </c>
      <c r="B45" s="16">
        <v>3.3093395469285523E-5</v>
      </c>
      <c r="C45" s="8" t="s">
        <v>69</v>
      </c>
      <c r="D45" s="33" t="str">
        <f t="shared" si="6"/>
        <v>Yes</v>
      </c>
      <c r="E45" s="74">
        <v>2207.71</v>
      </c>
      <c r="F45" s="19">
        <v>0</v>
      </c>
      <c r="G45" s="52">
        <f>$B45*'CVS Payments'!E$20</f>
        <v>242.09926938001135</v>
      </c>
      <c r="H45" s="52">
        <f>$B45*'CVS Payments'!F$20</f>
        <v>242.09926938001135</v>
      </c>
      <c r="I45" s="52">
        <f>$B45*'CVS Payments'!G$20</f>
        <v>242.09926938001135</v>
      </c>
      <c r="J45" s="52">
        <f>$B45*'CVS Payments'!H$20</f>
        <v>242.09926938001135</v>
      </c>
      <c r="K45" s="52">
        <f>$B45*'CVS Payments'!I$20</f>
        <v>230.00390423709686</v>
      </c>
      <c r="L45" s="52">
        <f>$B45*'CVS Payments'!J$20</f>
        <v>217.90853859762652</v>
      </c>
      <c r="M45" s="52">
        <f>$B45*'CVS Payments'!K$20</f>
        <v>217.71657952424312</v>
      </c>
      <c r="N45" s="52">
        <f>$B45*'CVS Payments'!L$20</f>
        <v>217.71657952424312</v>
      </c>
      <c r="O45" s="39" t="s">
        <v>346</v>
      </c>
      <c r="P45" s="7">
        <f>E45</f>
        <v>2207.71</v>
      </c>
    </row>
    <row r="46" spans="1:16" x14ac:dyDescent="0.35">
      <c r="A46" s="3" t="s">
        <v>22</v>
      </c>
      <c r="B46" s="16">
        <v>2.6353816720000004E-3</v>
      </c>
      <c r="C46" s="8" t="s">
        <v>70</v>
      </c>
      <c r="D46" s="33" t="str">
        <f t="shared" si="6"/>
        <v>No</v>
      </c>
      <c r="E46" s="74">
        <v>10771.54</v>
      </c>
      <c r="F46" s="19">
        <v>7856.36</v>
      </c>
      <c r="G46" s="19">
        <f>$B46*'CVS Payments'!E$20</f>
        <v>19279.495750770948</v>
      </c>
      <c r="H46" s="19">
        <f>$B46*'CVS Payments'!F$20</f>
        <v>19279.495750770948</v>
      </c>
      <c r="I46" s="19">
        <f>$B46*'CVS Payments'!G$20</f>
        <v>19279.495750770948</v>
      </c>
      <c r="J46" s="19">
        <f>$B46*'CVS Payments'!H$20</f>
        <v>19279.495750770948</v>
      </c>
      <c r="K46" s="19">
        <f>$B46*'CVS Payments'!I$20</f>
        <v>18316.285322775762</v>
      </c>
      <c r="L46" s="19">
        <f>$B46*'CVS Payments'!J$20</f>
        <v>17353.074855237512</v>
      </c>
      <c r="M46" s="19">
        <f>$B46*'CVS Payments'!K$20</f>
        <v>17337.788257516277</v>
      </c>
      <c r="N46" s="19">
        <f>$B46*'CVS Payments'!L$20</f>
        <v>17337.788257516277</v>
      </c>
      <c r="O46" s="39" t="s">
        <v>346</v>
      </c>
      <c r="P46" s="7">
        <f t="shared" si="0"/>
        <v>166090.81969612962</v>
      </c>
    </row>
    <row r="47" spans="1:16" x14ac:dyDescent="0.35">
      <c r="A47" s="3" t="s">
        <v>14</v>
      </c>
      <c r="B47" s="16">
        <v>1.211863496205807E-4</v>
      </c>
      <c r="C47" s="8" t="s">
        <v>71</v>
      </c>
      <c r="D47" s="33" t="str">
        <f t="shared" si="6"/>
        <v>No</v>
      </c>
      <c r="E47" s="74">
        <v>495.32</v>
      </c>
      <c r="F47" s="19">
        <v>361.27</v>
      </c>
      <c r="G47" s="19">
        <f>$B47*'CVS Payments'!E$20</f>
        <v>886.55534694840503</v>
      </c>
      <c r="H47" s="19">
        <f>$B47*'CVS Payments'!F$20</f>
        <v>886.55534694840503</v>
      </c>
      <c r="I47" s="19">
        <f>$B47*'CVS Payments'!G$20</f>
        <v>886.55534694840503</v>
      </c>
      <c r="J47" s="19">
        <f>$B47*'CVS Payments'!H$20</f>
        <v>886.55534694840503</v>
      </c>
      <c r="K47" s="19">
        <f>$B47*'CVS Payments'!I$20</f>
        <v>842.2627281883191</v>
      </c>
      <c r="L47" s="19">
        <f>$B47*'CVS Payments'!J$20</f>
        <v>797.97010760987052</v>
      </c>
      <c r="M47" s="19">
        <f>$B47*'CVS Payments'!K$20</f>
        <v>797.26716313862482</v>
      </c>
      <c r="N47" s="19">
        <f>$B47*'CVS Payments'!L$20</f>
        <v>797.26716313862482</v>
      </c>
      <c r="O47" s="39" t="s">
        <v>346</v>
      </c>
      <c r="P47" s="7">
        <f t="shared" si="0"/>
        <v>7637.5785498690584</v>
      </c>
    </row>
    <row r="48" spans="1:16" x14ac:dyDescent="0.35">
      <c r="A48" s="3" t="s">
        <v>72</v>
      </c>
      <c r="B48" s="16">
        <v>4.1274553924800002E-3</v>
      </c>
      <c r="C48" s="8" t="s">
        <v>72</v>
      </c>
      <c r="D48" s="33" t="str">
        <f t="shared" si="6"/>
        <v>No</v>
      </c>
      <c r="E48" s="74">
        <v>16870.060000000001</v>
      </c>
      <c r="F48" s="19">
        <v>12304.39</v>
      </c>
      <c r="G48" s="19">
        <f>$B48*'CVS Payments'!E$20</f>
        <v>30194.965513448704</v>
      </c>
      <c r="H48" s="19">
        <f>$B48*'CVS Payments'!F$20</f>
        <v>30194.965513448704</v>
      </c>
      <c r="I48" s="19">
        <f>$B48*'CVS Payments'!G$20</f>
        <v>30194.965513448704</v>
      </c>
      <c r="J48" s="19">
        <f>$B48*'CVS Payments'!H$20</f>
        <v>30194.965513448704</v>
      </c>
      <c r="K48" s="19">
        <f>$B48*'CVS Payments'!I$20</f>
        <v>28686.414354669265</v>
      </c>
      <c r="L48" s="19">
        <f>$B48*'CVS Payments'!J$20</f>
        <v>27177.863133958668</v>
      </c>
      <c r="M48" s="19">
        <f>$B48*'CVS Payments'!K$20</f>
        <v>27153.921725066157</v>
      </c>
      <c r="N48" s="19">
        <f>$B48*'CVS Payments'!L$20</f>
        <v>27153.921725066157</v>
      </c>
      <c r="O48" s="39" t="s">
        <v>346</v>
      </c>
      <c r="P48" s="7">
        <f t="shared" si="0"/>
        <v>260126.43299255503</v>
      </c>
    </row>
    <row r="49" spans="1:16" x14ac:dyDescent="0.35">
      <c r="A49" s="3" t="s">
        <v>73</v>
      </c>
      <c r="B49" s="16">
        <v>2.1428580409600002E-3</v>
      </c>
      <c r="C49" s="8" t="s">
        <v>73</v>
      </c>
      <c r="D49" s="33" t="str">
        <f t="shared" si="6"/>
        <v>No</v>
      </c>
      <c r="E49" s="74">
        <v>8758.4599999999991</v>
      </c>
      <c r="F49" s="19">
        <v>6388.09</v>
      </c>
      <c r="G49" s="19">
        <f>$B49*'CVS Payments'!E$20</f>
        <v>15676.371636841859</v>
      </c>
      <c r="H49" s="19">
        <f>$B49*'CVS Payments'!F$20</f>
        <v>15676.371636841859</v>
      </c>
      <c r="I49" s="19">
        <f>$B49*'CVS Payments'!G$20</f>
        <v>15676.371636841859</v>
      </c>
      <c r="J49" s="19">
        <f>$B49*'CVS Payments'!H$20</f>
        <v>15676.371636841859</v>
      </c>
      <c r="K49" s="19">
        <f>$B49*'CVS Payments'!I$20</f>
        <v>14893.174564214571</v>
      </c>
      <c r="L49" s="19">
        <f>$B49*'CVS Payments'!J$20</f>
        <v>14109.97745943438</v>
      </c>
      <c r="M49" s="19">
        <f>$B49*'CVS Payments'!K$20</f>
        <v>14097.547757431857</v>
      </c>
      <c r="N49" s="19">
        <f>$B49*'CVS Payments'!L$20</f>
        <v>14097.547757431857</v>
      </c>
      <c r="O49" s="39" t="s">
        <v>346</v>
      </c>
      <c r="P49" s="7">
        <f t="shared" si="0"/>
        <v>135050.28408588009</v>
      </c>
    </row>
    <row r="50" spans="1:16" x14ac:dyDescent="0.35">
      <c r="A50" s="3" t="s">
        <v>74</v>
      </c>
      <c r="B50" s="16">
        <v>3.1672388092800004E-3</v>
      </c>
      <c r="C50" s="8" t="s">
        <v>74</v>
      </c>
      <c r="D50" s="33" t="str">
        <f t="shared" si="6"/>
        <v>No</v>
      </c>
      <c r="E50" s="74">
        <v>12945.39</v>
      </c>
      <c r="F50" s="19">
        <v>9441.8799999999992</v>
      </c>
      <c r="G50" s="19">
        <f>$B50*'CVS Payments'!E$20</f>
        <v>23170.369519512464</v>
      </c>
      <c r="H50" s="19">
        <f>$B50*'CVS Payments'!F$20</f>
        <v>23170.369519512464</v>
      </c>
      <c r="I50" s="19">
        <f>$B50*'CVS Payments'!G$20</f>
        <v>23170.369519512464</v>
      </c>
      <c r="J50" s="19">
        <f>$B50*'CVS Payments'!H$20</f>
        <v>23170.369519512464</v>
      </c>
      <c r="K50" s="19">
        <f>$B50*'CVS Payments'!I$20</f>
        <v>22012.769661601047</v>
      </c>
      <c r="L50" s="19">
        <f>$B50*'CVS Payments'!J$20</f>
        <v>20855.169756166219</v>
      </c>
      <c r="M50" s="19">
        <f>$B50*'CVS Payments'!K$20</f>
        <v>20836.798107733299</v>
      </c>
      <c r="N50" s="19">
        <f>$B50*'CVS Payments'!L$20</f>
        <v>20836.798107733299</v>
      </c>
      <c r="O50" s="39" t="s">
        <v>346</v>
      </c>
      <c r="P50" s="7">
        <f t="shared" si="0"/>
        <v>199610.28371128373</v>
      </c>
    </row>
    <row r="51" spans="1:16" x14ac:dyDescent="0.35">
      <c r="A51" s="3" t="s">
        <v>75</v>
      </c>
      <c r="B51" s="16">
        <v>1.2625116440371095E-3</v>
      </c>
      <c r="C51" s="8" t="s">
        <v>76</v>
      </c>
      <c r="D51" s="33" t="str">
        <f t="shared" si="6"/>
        <v>No</v>
      </c>
      <c r="E51" s="74">
        <v>5160.24</v>
      </c>
      <c r="F51" s="19">
        <v>3763.68</v>
      </c>
      <c r="G51" s="19">
        <f>$B51*'CVS Payments'!E$20</f>
        <v>9236.0769353154592</v>
      </c>
      <c r="H51" s="19">
        <f>$B51*'CVS Payments'!F$20</f>
        <v>9236.0769353154592</v>
      </c>
      <c r="I51" s="19">
        <f>$B51*'CVS Payments'!G$20</f>
        <v>9236.0769353154592</v>
      </c>
      <c r="J51" s="19">
        <f>$B51*'CVS Payments'!H$20</f>
        <v>9236.0769353154592</v>
      </c>
      <c r="K51" s="19">
        <f>$B51*'CVS Payments'!I$20</f>
        <v>8774.6392642858154</v>
      </c>
      <c r="L51" s="19">
        <f>$B51*'CVS Payments'!J$20</f>
        <v>8313.2015743125849</v>
      </c>
      <c r="M51" s="19">
        <f>$B51*'CVS Payments'!K$20</f>
        <v>8305.8783437438142</v>
      </c>
      <c r="N51" s="19">
        <f>$B51*'CVS Payments'!L$20</f>
        <v>8305.8783437438142</v>
      </c>
      <c r="O51" s="39" t="s">
        <v>346</v>
      </c>
      <c r="P51" s="7">
        <f t="shared" si="0"/>
        <v>79567.825267347856</v>
      </c>
    </row>
    <row r="52" spans="1:16" x14ac:dyDescent="0.35">
      <c r="A52" s="3" t="s">
        <v>77</v>
      </c>
      <c r="B52" s="16">
        <v>2.6802056915200003E-3</v>
      </c>
      <c r="C52" s="8" t="s">
        <v>77</v>
      </c>
      <c r="D52" s="33" t="str">
        <f t="shared" si="6"/>
        <v>No</v>
      </c>
      <c r="E52" s="74">
        <v>10954.75</v>
      </c>
      <c r="F52" s="19">
        <v>7989.98</v>
      </c>
      <c r="G52" s="19">
        <f>$B52*'CVS Payments'!E$20</f>
        <v>19607.412007854302</v>
      </c>
      <c r="H52" s="19">
        <f>$B52*'CVS Payments'!F$20</f>
        <v>19607.412007854302</v>
      </c>
      <c r="I52" s="19">
        <f>$B52*'CVS Payments'!G$20</f>
        <v>19607.412007854302</v>
      </c>
      <c r="J52" s="19">
        <f>$B52*'CVS Payments'!H$20</f>
        <v>19607.412007854302</v>
      </c>
      <c r="K52" s="19">
        <f>$B52*'CVS Payments'!I$20</f>
        <v>18627.818767652047</v>
      </c>
      <c r="L52" s="19">
        <f>$B52*'CVS Payments'!J$20</f>
        <v>17648.225487234158</v>
      </c>
      <c r="M52" s="19">
        <f>$B52*'CVS Payments'!K$20</f>
        <v>17632.678886659476</v>
      </c>
      <c r="N52" s="19">
        <f>$B52*'CVS Payments'!L$20</f>
        <v>17632.678886659476</v>
      </c>
      <c r="O52" s="39" t="s">
        <v>346</v>
      </c>
      <c r="P52" s="7">
        <f t="shared" si="0"/>
        <v>168915.78005962237</v>
      </c>
    </row>
    <row r="53" spans="1:16" x14ac:dyDescent="0.35">
      <c r="A53" s="3" t="s">
        <v>78</v>
      </c>
      <c r="B53" s="16">
        <v>2.7998174328112426E-3</v>
      </c>
      <c r="C53" s="8" t="s">
        <v>78</v>
      </c>
      <c r="D53" s="33" t="str">
        <f t="shared" si="6"/>
        <v>No</v>
      </c>
      <c r="E53" s="74">
        <v>11443.63</v>
      </c>
      <c r="F53" s="19">
        <v>8346.56</v>
      </c>
      <c r="G53" s="19">
        <f>$B53*'CVS Payments'!E$20</f>
        <v>20482.448091799117</v>
      </c>
      <c r="H53" s="19">
        <f>$B53*'CVS Payments'!F$20</f>
        <v>20482.448091799117</v>
      </c>
      <c r="I53" s="19">
        <f>$B53*'CVS Payments'!G$20</f>
        <v>20482.448091799117</v>
      </c>
      <c r="J53" s="19">
        <f>$B53*'CVS Payments'!H$20</f>
        <v>20482.448091799117</v>
      </c>
      <c r="K53" s="19">
        <f>$B53*'CVS Payments'!I$20</f>
        <v>19459.137739291476</v>
      </c>
      <c r="L53" s="19">
        <f>$B53*'CVS Payments'!J$20</f>
        <v>18435.827344773461</v>
      </c>
      <c r="M53" s="19">
        <f>$B53*'CVS Payments'!K$20</f>
        <v>18419.586933282779</v>
      </c>
      <c r="N53" s="19">
        <f>$B53*'CVS Payments'!L$20</f>
        <v>18419.586933282779</v>
      </c>
      <c r="O53" s="39" t="s">
        <v>346</v>
      </c>
      <c r="P53" s="7">
        <f t="shared" si="0"/>
        <v>176454.12131782697</v>
      </c>
    </row>
    <row r="54" spans="1:16" x14ac:dyDescent="0.35">
      <c r="A54" s="3" t="s">
        <v>34</v>
      </c>
      <c r="B54" s="16">
        <v>1.3949733207608273E-4</v>
      </c>
      <c r="C54" s="8" t="s">
        <v>79</v>
      </c>
      <c r="D54" s="33" t="str">
        <f t="shared" si="6"/>
        <v>No</v>
      </c>
      <c r="E54" s="74">
        <v>570.16</v>
      </c>
      <c r="F54" s="19">
        <v>415.86</v>
      </c>
      <c r="G54" s="19">
        <f>$B54*'CVS Payments'!E$20</f>
        <v>1020.5118482757364</v>
      </c>
      <c r="H54" s="19">
        <f>$B54*'CVS Payments'!F$20</f>
        <v>1020.5118482757364</v>
      </c>
      <c r="I54" s="19">
        <f>$B54*'CVS Payments'!G$20</f>
        <v>1020.5118482757364</v>
      </c>
      <c r="J54" s="19">
        <f>$B54*'CVS Payments'!H$20</f>
        <v>1020.5118482757364</v>
      </c>
      <c r="K54" s="19">
        <f>$B54*'CVS Payments'!I$20</f>
        <v>969.52671532107786</v>
      </c>
      <c r="L54" s="19">
        <f>$B54*'CVS Payments'!J$20</f>
        <v>918.54158027330618</v>
      </c>
      <c r="M54" s="19">
        <f>$B54*'CVS Payments'!K$20</f>
        <v>917.73242248743827</v>
      </c>
      <c r="N54" s="19">
        <f>$B54*'CVS Payments'!L$20</f>
        <v>917.73242248743827</v>
      </c>
      <c r="O54" s="39" t="s">
        <v>346</v>
      </c>
      <c r="P54" s="7">
        <f t="shared" si="0"/>
        <v>8791.6005336722046</v>
      </c>
    </row>
    <row r="55" spans="1:16" x14ac:dyDescent="0.35">
      <c r="A55" s="3" t="s">
        <v>75</v>
      </c>
      <c r="B55" s="16">
        <v>6.5243179433600003E-3</v>
      </c>
      <c r="C55" s="8" t="s">
        <v>80</v>
      </c>
      <c r="D55" s="33" t="str">
        <f t="shared" si="6"/>
        <v>No</v>
      </c>
      <c r="E55" s="74">
        <v>26666.71</v>
      </c>
      <c r="F55" s="19">
        <v>19449.689999999999</v>
      </c>
      <c r="G55" s="19">
        <f>$B55*'CVS Payments'!E$20</f>
        <v>47729.541949128252</v>
      </c>
      <c r="H55" s="19">
        <f>$B55*'CVS Payments'!F$20</f>
        <v>47729.541949128252</v>
      </c>
      <c r="I55" s="19">
        <f>$B55*'CVS Payments'!G$20</f>
        <v>47729.541949128252</v>
      </c>
      <c r="J55" s="19">
        <f>$B55*'CVS Payments'!H$20</f>
        <v>47729.541949128252</v>
      </c>
      <c r="K55" s="19">
        <f>$B55*'CVS Payments'!I$20</f>
        <v>45344.957148615737</v>
      </c>
      <c r="L55" s="19">
        <f>$B55*'CVS Payments'!J$20</f>
        <v>42960.372250207904</v>
      </c>
      <c r="M55" s="19">
        <f>$B55*'CVS Payments'!K$20</f>
        <v>42922.527779759766</v>
      </c>
      <c r="N55" s="19">
        <f>$B55*'CVS Payments'!L$20</f>
        <v>42922.527779759766</v>
      </c>
      <c r="O55" s="39" t="s">
        <v>346</v>
      </c>
      <c r="P55" s="7">
        <f t="shared" si="0"/>
        <v>411184.9527548562</v>
      </c>
    </row>
    <row r="56" spans="1:16" x14ac:dyDescent="0.35">
      <c r="A56" s="3" t="s">
        <v>40</v>
      </c>
      <c r="B56" s="16">
        <v>5.4026690121600001E-3</v>
      </c>
      <c r="C56" s="8" t="s">
        <v>40</v>
      </c>
      <c r="D56" s="33" t="str">
        <f t="shared" si="6"/>
        <v>No</v>
      </c>
      <c r="E56" s="74">
        <v>22082.21</v>
      </c>
      <c r="F56" s="19">
        <v>16105.93</v>
      </c>
      <c r="G56" s="19">
        <f>$B56*'CVS Payments'!E$20</f>
        <v>39523.965492145449</v>
      </c>
      <c r="H56" s="19">
        <f>$B56*'CVS Payments'!F$20</f>
        <v>39523.965492145449</v>
      </c>
      <c r="I56" s="19">
        <f>$B56*'CVS Payments'!G$20</f>
        <v>39523.965492145449</v>
      </c>
      <c r="J56" s="19">
        <f>$B56*'CVS Payments'!H$20</f>
        <v>39523.965492145449</v>
      </c>
      <c r="K56" s="19">
        <f>$B56*'CVS Payments'!I$20</f>
        <v>37549.334194216717</v>
      </c>
      <c r="L56" s="19">
        <f>$B56*'CVS Payments'!J$20</f>
        <v>35574.702815222648</v>
      </c>
      <c r="M56" s="19">
        <f>$B56*'CVS Payments'!K$20</f>
        <v>35543.364497631941</v>
      </c>
      <c r="N56" s="19">
        <f>$B56*'CVS Payments'!L$20</f>
        <v>35543.364497631941</v>
      </c>
      <c r="O56" s="39" t="s">
        <v>346</v>
      </c>
      <c r="P56" s="7">
        <f t="shared" si="0"/>
        <v>340494.76797328511</v>
      </c>
    </row>
    <row r="57" spans="1:16" x14ac:dyDescent="0.35">
      <c r="A57" s="3" t="s">
        <v>58</v>
      </c>
      <c r="B57" s="16">
        <v>7.7283577009453522E-5</v>
      </c>
      <c r="C57" s="8" t="s">
        <v>81</v>
      </c>
      <c r="D57" s="33" t="str">
        <f t="shared" si="6"/>
        <v>Yes</v>
      </c>
      <c r="E57" s="74">
        <v>5155.71</v>
      </c>
      <c r="F57" s="19">
        <v>0</v>
      </c>
      <c r="G57" s="52">
        <f>$B57*'CVS Payments'!E$20</f>
        <v>565.37859786638842</v>
      </c>
      <c r="H57" s="52">
        <f>$B57*'CVS Payments'!F$20</f>
        <v>565.37859786638842</v>
      </c>
      <c r="I57" s="52">
        <f>$B57*'CVS Payments'!G$20</f>
        <v>565.37859786638842</v>
      </c>
      <c r="J57" s="52">
        <f>$B57*'CVS Payments'!H$20</f>
        <v>565.37859786638842</v>
      </c>
      <c r="K57" s="52">
        <f>$B57*'CVS Payments'!I$20</f>
        <v>537.13208310946459</v>
      </c>
      <c r="L57" s="52">
        <f>$B57*'CVS Payments'!J$20</f>
        <v>508.88556719292518</v>
      </c>
      <c r="M57" s="52">
        <f>$B57*'CVS Payments'!K$20</f>
        <v>508.43728185924709</v>
      </c>
      <c r="N57" s="52">
        <f>$B57*'CVS Payments'!L$20</f>
        <v>508.43728185924709</v>
      </c>
      <c r="O57" s="39" t="s">
        <v>346</v>
      </c>
      <c r="P57" s="7">
        <f>E57</f>
        <v>5155.71</v>
      </c>
    </row>
    <row r="58" spans="1:16" x14ac:dyDescent="0.35">
      <c r="A58" s="3" t="s">
        <v>34</v>
      </c>
      <c r="B58" s="16">
        <v>1.9885436190897308E-4</v>
      </c>
      <c r="C58" s="8" t="s">
        <v>82</v>
      </c>
      <c r="D58" s="8" t="s">
        <v>337</v>
      </c>
      <c r="E58" s="74">
        <v>0</v>
      </c>
      <c r="F58" s="19">
        <v>0</v>
      </c>
      <c r="G58" s="19">
        <v>0</v>
      </c>
      <c r="H58" s="19">
        <v>0</v>
      </c>
      <c r="I58" s="19">
        <v>0</v>
      </c>
      <c r="J58" s="19">
        <v>0</v>
      </c>
      <c r="K58" s="19">
        <v>0</v>
      </c>
      <c r="L58" s="19">
        <v>0</v>
      </c>
      <c r="M58" s="19">
        <v>0</v>
      </c>
      <c r="N58" s="19">
        <v>0</v>
      </c>
      <c r="O58" s="39" t="s">
        <v>346</v>
      </c>
      <c r="P58" s="7">
        <f t="shared" si="0"/>
        <v>0</v>
      </c>
    </row>
    <row r="59" spans="1:16" x14ac:dyDescent="0.35">
      <c r="A59" s="3" t="s">
        <v>83</v>
      </c>
      <c r="B59" s="16">
        <v>8.4518667745893796E-5</v>
      </c>
      <c r="C59" s="8" t="s">
        <v>84</v>
      </c>
      <c r="D59" s="33" t="str">
        <f t="shared" ref="D59:D98" si="7">IF(B59&lt;0.000083,"Yes","No")</f>
        <v>No</v>
      </c>
      <c r="E59" s="74">
        <v>345.45</v>
      </c>
      <c r="F59" s="19">
        <v>251.96</v>
      </c>
      <c r="G59" s="19">
        <f>$B59*'CVS Payments'!E$20</f>
        <v>618.30789558127458</v>
      </c>
      <c r="H59" s="19">
        <f>$B59*'CVS Payments'!F$20</f>
        <v>618.30789558127458</v>
      </c>
      <c r="I59" s="19">
        <f>$B59*'CVS Payments'!G$20</f>
        <v>618.30789558127458</v>
      </c>
      <c r="J59" s="19">
        <f>$B59*'CVS Payments'!H$20</f>
        <v>618.30789558127458</v>
      </c>
      <c r="K59" s="19">
        <f>$B59*'CVS Payments'!I$20</f>
        <v>587.41701438632276</v>
      </c>
      <c r="L59" s="19">
        <f>$B59*'CVS Payments'!J$20</f>
        <v>556.52613192319529</v>
      </c>
      <c r="M59" s="19">
        <f>$B59*'CVS Payments'!K$20</f>
        <v>556.03587926359262</v>
      </c>
      <c r="N59" s="19">
        <f>$B59*'CVS Payments'!L$20</f>
        <v>556.03587926359262</v>
      </c>
      <c r="O59" s="39" t="s">
        <v>346</v>
      </c>
      <c r="P59" s="7">
        <f t="shared" si="0"/>
        <v>5326.6564871618011</v>
      </c>
    </row>
    <row r="60" spans="1:16" x14ac:dyDescent="0.35">
      <c r="A60" s="3" t="s">
        <v>83</v>
      </c>
      <c r="B60" s="16">
        <v>9.5907662226293643E-6</v>
      </c>
      <c r="C60" s="8" t="s">
        <v>85</v>
      </c>
      <c r="D60" s="33" t="str">
        <f t="shared" si="7"/>
        <v>Yes</v>
      </c>
      <c r="E60" s="74">
        <v>639.82000000000005</v>
      </c>
      <c r="F60" s="19">
        <v>0</v>
      </c>
      <c r="G60" s="52">
        <f>$B60*'CVS Payments'!E$20</f>
        <v>70.162564534910501</v>
      </c>
      <c r="H60" s="52">
        <f>$B60*'CVS Payments'!F$20</f>
        <v>70.162564534910501</v>
      </c>
      <c r="I60" s="52">
        <f>$B60*'CVS Payments'!G$20</f>
        <v>70.162564534910501</v>
      </c>
      <c r="J60" s="52">
        <f>$B60*'CVS Payments'!H$20</f>
        <v>70.162564534910501</v>
      </c>
      <c r="K60" s="52">
        <f>$B60*'CVS Payments'!I$20</f>
        <v>66.65721799013852</v>
      </c>
      <c r="L60" s="52">
        <f>$B60*'CVS Payments'!J$20</f>
        <v>63.15187130146014</v>
      </c>
      <c r="M60" s="52">
        <f>$B60*'CVS Payments'!K$20</f>
        <v>63.096239820585311</v>
      </c>
      <c r="N60" s="52">
        <f>$B60*'CVS Payments'!L$20</f>
        <v>63.096239820585311</v>
      </c>
      <c r="O60" s="39" t="s">
        <v>346</v>
      </c>
      <c r="P60" s="7">
        <f>E60</f>
        <v>639.82000000000005</v>
      </c>
    </row>
    <row r="61" spans="1:16" x14ac:dyDescent="0.35">
      <c r="A61" s="3" t="s">
        <v>86</v>
      </c>
      <c r="B61" s="16">
        <v>2.88625325072E-3</v>
      </c>
      <c r="C61" s="8" t="s">
        <v>86</v>
      </c>
      <c r="D61" s="33" t="str">
        <f t="shared" si="7"/>
        <v>No</v>
      </c>
      <c r="E61" s="74">
        <v>11796.92</v>
      </c>
      <c r="F61" s="19">
        <v>8604.23</v>
      </c>
      <c r="G61" s="19">
        <f>$B61*'CVS Payments'!E$20</f>
        <v>21114.781162106021</v>
      </c>
      <c r="H61" s="19">
        <f>$B61*'CVS Payments'!F$20</f>
        <v>21114.781162106021</v>
      </c>
      <c r="I61" s="19">
        <f>$B61*'CVS Payments'!G$20</f>
        <v>21114.781162106021</v>
      </c>
      <c r="J61" s="19">
        <f>$B61*'CVS Payments'!H$20</f>
        <v>21114.781162106021</v>
      </c>
      <c r="K61" s="19">
        <f>$B61*'CVS Payments'!I$20</f>
        <v>20059.879225712608</v>
      </c>
      <c r="L61" s="19">
        <f>$B61*'CVS Payments'!J$20</f>
        <v>19004.977246011884</v>
      </c>
      <c r="M61" s="19">
        <f>$B61*'CVS Payments'!K$20</f>
        <v>18988.235461383822</v>
      </c>
      <c r="N61" s="19">
        <f>$B61*'CVS Payments'!L$20</f>
        <v>18988.235461383822</v>
      </c>
      <c r="O61" s="39" t="s">
        <v>346</v>
      </c>
      <c r="P61" s="7">
        <f t="shared" si="0"/>
        <v>181901.60204291623</v>
      </c>
    </row>
    <row r="62" spans="1:16" x14ac:dyDescent="0.35">
      <c r="A62" s="3" t="s">
        <v>63</v>
      </c>
      <c r="B62" s="16">
        <v>8.8446355339343792E-5</v>
      </c>
      <c r="C62" s="8" t="s">
        <v>87</v>
      </c>
      <c r="D62" s="33" t="str">
        <f t="shared" si="7"/>
        <v>No</v>
      </c>
      <c r="E62" s="74">
        <v>361.5</v>
      </c>
      <c r="F62" s="19">
        <v>263.67</v>
      </c>
      <c r="G62" s="19">
        <f>$B62*'CVS Payments'!E$20</f>
        <v>647.04143238651761</v>
      </c>
      <c r="H62" s="19">
        <f>$B62*'CVS Payments'!F$20</f>
        <v>647.04143238651761</v>
      </c>
      <c r="I62" s="19">
        <f>$B62*'CVS Payments'!G$20</f>
        <v>647.04143238651761</v>
      </c>
      <c r="J62" s="19">
        <f>$B62*'CVS Payments'!H$20</f>
        <v>647.04143238651761</v>
      </c>
      <c r="K62" s="19">
        <f>$B62*'CVS Payments'!I$20</f>
        <v>614.71501352804125</v>
      </c>
      <c r="L62" s="19">
        <f>$B62*'CVS Payments'!J$20</f>
        <v>582.38859334245547</v>
      </c>
      <c r="M62" s="19">
        <f>$B62*'CVS Payments'!K$20</f>
        <v>581.87555803210682</v>
      </c>
      <c r="N62" s="19">
        <f>$B62*'CVS Payments'!L$20</f>
        <v>581.87555803210682</v>
      </c>
      <c r="O62" s="39" t="s">
        <v>346</v>
      </c>
      <c r="P62" s="7">
        <f t="shared" si="0"/>
        <v>5574.1904524807806</v>
      </c>
    </row>
    <row r="63" spans="1:16" x14ac:dyDescent="0.35">
      <c r="A63" s="3" t="s">
        <v>22</v>
      </c>
      <c r="B63" s="16">
        <v>2.9965833191952238E-3</v>
      </c>
      <c r="C63" s="8" t="s">
        <v>88</v>
      </c>
      <c r="D63" s="33" t="str">
        <f t="shared" si="7"/>
        <v>No</v>
      </c>
      <c r="E63" s="74">
        <v>12247.87</v>
      </c>
      <c r="F63" s="19">
        <v>8933.14</v>
      </c>
      <c r="G63" s="19">
        <f>$B63*'CVS Payments'!E$20</f>
        <v>21921.915896687398</v>
      </c>
      <c r="H63" s="19">
        <f>$B63*'CVS Payments'!F$20</f>
        <v>21921.915896687398</v>
      </c>
      <c r="I63" s="19">
        <f>$B63*'CVS Payments'!G$20</f>
        <v>21921.915896687398</v>
      </c>
      <c r="J63" s="19">
        <f>$B63*'CVS Payments'!H$20</f>
        <v>21921.915896687398</v>
      </c>
      <c r="K63" s="19">
        <f>$B63*'CVS Payments'!I$20</f>
        <v>20826.689223423477</v>
      </c>
      <c r="L63" s="19">
        <f>$B63*'CVS Payments'!J$20</f>
        <v>19731.462505196778</v>
      </c>
      <c r="M63" s="19">
        <f>$B63*'CVS Payments'!K$20</f>
        <v>19714.080748229509</v>
      </c>
      <c r="N63" s="19">
        <f>$B63*'CVS Payments'!L$20</f>
        <v>19714.080748229509</v>
      </c>
      <c r="O63" s="39" t="s">
        <v>346</v>
      </c>
      <c r="P63" s="7">
        <f t="shared" si="0"/>
        <v>188854.98681182889</v>
      </c>
    </row>
    <row r="64" spans="1:16" x14ac:dyDescent="0.35">
      <c r="A64" s="3" t="s">
        <v>22</v>
      </c>
      <c r="B64" s="16">
        <v>1.053620174976995E-3</v>
      </c>
      <c r="C64" s="8" t="s">
        <v>89</v>
      </c>
      <c r="D64" s="33" t="str">
        <f t="shared" si="7"/>
        <v>No</v>
      </c>
      <c r="E64" s="74">
        <v>4306.4399999999996</v>
      </c>
      <c r="F64" s="19">
        <v>3140.95</v>
      </c>
      <c r="G64" s="19">
        <f>$B64*'CVS Payments'!E$20</f>
        <v>7707.9027687779699</v>
      </c>
      <c r="H64" s="19">
        <f>$B64*'CVS Payments'!F$20</f>
        <v>7707.9027687779699</v>
      </c>
      <c r="I64" s="19">
        <f>$B64*'CVS Payments'!G$20</f>
        <v>7707.9027687779699</v>
      </c>
      <c r="J64" s="19">
        <f>$B64*'CVS Payments'!H$20</f>
        <v>7707.9027687779699</v>
      </c>
      <c r="K64" s="19">
        <f>$B64*'CVS Payments'!I$20</f>
        <v>7322.8132197132318</v>
      </c>
      <c r="L64" s="19">
        <f>$B64*'CVS Payments'!J$20</f>
        <v>6937.7236548392584</v>
      </c>
      <c r="M64" s="19">
        <f>$B64*'CVS Payments'!K$20</f>
        <v>6931.6121044945885</v>
      </c>
      <c r="N64" s="19">
        <f>$B64*'CVS Payments'!L$20</f>
        <v>6931.6121044945885</v>
      </c>
      <c r="O64" s="39" t="s">
        <v>346</v>
      </c>
      <c r="P64" s="7">
        <f t="shared" si="0"/>
        <v>66402.762158653553</v>
      </c>
    </row>
    <row r="65" spans="1:16" x14ac:dyDescent="0.35">
      <c r="A65" s="3" t="s">
        <v>90</v>
      </c>
      <c r="B65" s="16">
        <v>1.9675310549654214E-4</v>
      </c>
      <c r="C65" s="8" t="s">
        <v>91</v>
      </c>
      <c r="D65" s="33" t="str">
        <f t="shared" si="7"/>
        <v>No</v>
      </c>
      <c r="E65" s="74">
        <v>804.18</v>
      </c>
      <c r="F65" s="19">
        <v>586.54</v>
      </c>
      <c r="G65" s="19">
        <f>$B65*'CVS Payments'!E$20</f>
        <v>1439.3743045548401</v>
      </c>
      <c r="H65" s="19">
        <f>$B65*'CVS Payments'!F$20</f>
        <v>1439.3743045548401</v>
      </c>
      <c r="I65" s="19">
        <f>$B65*'CVS Payments'!G$20</f>
        <v>1439.3743045548401</v>
      </c>
      <c r="J65" s="19">
        <f>$B65*'CVS Payments'!H$20</f>
        <v>1439.3743045548401</v>
      </c>
      <c r="K65" s="19">
        <f>$B65*'CVS Payments'!I$20</f>
        <v>1367.4626551082979</v>
      </c>
      <c r="L65" s="19">
        <f>$B65*'CVS Payments'!J$20</f>
        <v>1295.5510027095377</v>
      </c>
      <c r="M65" s="19">
        <f>$B65*'CVS Payments'!K$20</f>
        <v>1294.4097313688114</v>
      </c>
      <c r="N65" s="19">
        <f>$B65*'CVS Payments'!L$20</f>
        <v>1294.4097313688114</v>
      </c>
      <c r="O65" s="39" t="s">
        <v>346</v>
      </c>
      <c r="P65" s="7">
        <f t="shared" si="0"/>
        <v>12400.050338774816</v>
      </c>
    </row>
    <row r="66" spans="1:16" x14ac:dyDescent="0.35">
      <c r="A66" s="3" t="s">
        <v>92</v>
      </c>
      <c r="B66" s="16">
        <v>4.0553892204887014E-4</v>
      </c>
      <c r="C66" s="8" t="s">
        <v>93</v>
      </c>
      <c r="D66" s="33" t="str">
        <f t="shared" si="7"/>
        <v>No</v>
      </c>
      <c r="E66" s="74">
        <v>1657.55</v>
      </c>
      <c r="F66" s="19">
        <v>1208.95</v>
      </c>
      <c r="G66" s="19">
        <f>$B66*'CVS Payments'!E$20</f>
        <v>2966.7755556939387</v>
      </c>
      <c r="H66" s="19">
        <f>$B66*'CVS Payments'!F$20</f>
        <v>2966.7755556939387</v>
      </c>
      <c r="I66" s="19">
        <f>$B66*'CVS Payments'!G$20</f>
        <v>2966.7755556939387</v>
      </c>
      <c r="J66" s="19">
        <f>$B66*'CVS Payments'!H$20</f>
        <v>2966.7755556939387</v>
      </c>
      <c r="K66" s="19">
        <f>$B66*'CVS Payments'!I$20</f>
        <v>2818.5543994092186</v>
      </c>
      <c r="L66" s="19">
        <f>$B66*'CVS Payments'!J$20</f>
        <v>2670.333237039516</v>
      </c>
      <c r="M66" s="19">
        <f>$B66*'CVS Payments'!K$20</f>
        <v>2667.98089831472</v>
      </c>
      <c r="N66" s="19">
        <f>$B66*'CVS Payments'!L$20</f>
        <v>2667.98089831472</v>
      </c>
      <c r="O66" s="39" t="s">
        <v>346</v>
      </c>
      <c r="P66" s="7">
        <f t="shared" si="0"/>
        <v>25558.451655853929</v>
      </c>
    </row>
    <row r="67" spans="1:16" x14ac:dyDescent="0.35">
      <c r="A67" s="3" t="s">
        <v>94</v>
      </c>
      <c r="B67" s="16">
        <v>2.6044851582400002E-3</v>
      </c>
      <c r="C67" s="8" t="s">
        <v>94</v>
      </c>
      <c r="D67" s="33" t="str">
        <f t="shared" si="7"/>
        <v>No</v>
      </c>
      <c r="E67" s="74">
        <v>10645.26</v>
      </c>
      <c r="F67" s="19">
        <v>7764.25</v>
      </c>
      <c r="G67" s="19">
        <f>$B67*'CVS Payments'!E$20</f>
        <v>19053.468070576335</v>
      </c>
      <c r="H67" s="19">
        <f>$B67*'CVS Payments'!F$20</f>
        <v>19053.468070576335</v>
      </c>
      <c r="I67" s="19">
        <f>$B67*'CVS Payments'!G$20</f>
        <v>19053.468070576335</v>
      </c>
      <c r="J67" s="19">
        <f>$B67*'CVS Payments'!H$20</f>
        <v>19053.468070576335</v>
      </c>
      <c r="K67" s="19">
        <f>$B67*'CVS Payments'!I$20</f>
        <v>18101.550065442898</v>
      </c>
      <c r="L67" s="19">
        <f>$B67*'CVS Payments'!J$20</f>
        <v>17149.632021229991</v>
      </c>
      <c r="M67" s="19">
        <f>$B67*'CVS Payments'!K$20</f>
        <v>17134.52463951449</v>
      </c>
      <c r="N67" s="19">
        <f>$B67*'CVS Payments'!L$20</f>
        <v>17134.52463951449</v>
      </c>
      <c r="O67" s="39" t="s">
        <v>346</v>
      </c>
      <c r="P67" s="7">
        <f t="shared" si="0"/>
        <v>164143.61364800719</v>
      </c>
    </row>
    <row r="68" spans="1:16" x14ac:dyDescent="0.35">
      <c r="A68" s="3" t="s">
        <v>22</v>
      </c>
      <c r="B68" s="16">
        <v>7.1316532282240011E-2</v>
      </c>
      <c r="C68" s="8" t="s">
        <v>95</v>
      </c>
      <c r="D68" s="33" t="str">
        <f t="shared" si="7"/>
        <v>No</v>
      </c>
      <c r="E68" s="74">
        <v>291490.55</v>
      </c>
      <c r="F68" s="19">
        <v>212602.22</v>
      </c>
      <c r="G68" s="19">
        <f>$B68*'CVS Payments'!E$20</f>
        <v>521725.86449374276</v>
      </c>
      <c r="H68" s="19">
        <f>$B68*'CVS Payments'!F$20</f>
        <v>521725.86449374276</v>
      </c>
      <c r="I68" s="19">
        <f>$B68*'CVS Payments'!G$20</f>
        <v>521725.86449374276</v>
      </c>
      <c r="J68" s="19">
        <f>$B68*'CVS Payments'!H$20</f>
        <v>521725.86449374276</v>
      </c>
      <c r="K68" s="19">
        <f>$B68*'CVS Payments'!I$20</f>
        <v>495660.2557386444</v>
      </c>
      <c r="L68" s="19">
        <f>$B68*'CVS Payments'!J$20</f>
        <v>469594.64591346413</v>
      </c>
      <c r="M68" s="19">
        <f>$B68*'CVS Payments'!K$20</f>
        <v>469180.97257291735</v>
      </c>
      <c r="N68" s="19">
        <f>$B68*'CVS Payments'!L$20</f>
        <v>469180.97257291735</v>
      </c>
      <c r="O68" s="39" t="s">
        <v>346</v>
      </c>
      <c r="P68" s="7">
        <f t="shared" ref="P68:P131" si="8">SUM(E68:O68)</f>
        <v>4494613.0747729139</v>
      </c>
    </row>
    <row r="69" spans="1:16" ht="18.75" customHeight="1" x14ac:dyDescent="0.35">
      <c r="A69" s="3" t="s">
        <v>22</v>
      </c>
      <c r="B69" s="16">
        <v>0</v>
      </c>
      <c r="C69" s="8" t="s">
        <v>96</v>
      </c>
      <c r="D69" s="33" t="str">
        <f t="shared" si="7"/>
        <v>Yes</v>
      </c>
      <c r="E69" s="43">
        <v>0</v>
      </c>
      <c r="F69" s="19">
        <v>0</v>
      </c>
      <c r="G69" s="52">
        <f>$B69*'CVS Payments'!E$20</f>
        <v>0</v>
      </c>
      <c r="H69" s="52">
        <f>$B69*'CVS Payments'!F$20</f>
        <v>0</v>
      </c>
      <c r="I69" s="52">
        <f>$B69*'CVS Payments'!G$20</f>
        <v>0</v>
      </c>
      <c r="J69" s="52">
        <f>$B69*'CVS Payments'!H$20</f>
        <v>0</v>
      </c>
      <c r="K69" s="52">
        <f>$B69*'CVS Payments'!I$20</f>
        <v>0</v>
      </c>
      <c r="L69" s="52">
        <f>$B69*'CVS Payments'!J$20</f>
        <v>0</v>
      </c>
      <c r="M69" s="52">
        <f>$B69*'CVS Payments'!K$20</f>
        <v>0</v>
      </c>
      <c r="N69" s="52">
        <f>$B69*'CVS Payments'!L$20</f>
        <v>0</v>
      </c>
      <c r="O69" s="39" t="s">
        <v>346</v>
      </c>
      <c r="P69" s="7">
        <f>E70</f>
        <v>1502.9</v>
      </c>
    </row>
    <row r="70" spans="1:16" x14ac:dyDescent="0.35">
      <c r="A70" s="3" t="s">
        <v>40</v>
      </c>
      <c r="B70" s="16">
        <v>3.6770177791889988E-4</v>
      </c>
      <c r="C70" s="8" t="s">
        <v>97</v>
      </c>
      <c r="D70" s="33" t="str">
        <f t="shared" si="7"/>
        <v>No</v>
      </c>
      <c r="E70" s="74">
        <v>1502.9</v>
      </c>
      <c r="F70" s="19">
        <v>1096.1600000000001</v>
      </c>
      <c r="G70" s="19">
        <f>$B70*'CVS Payments'!E$20</f>
        <v>2689.9727429455811</v>
      </c>
      <c r="H70" s="19">
        <f>$B70*'CVS Payments'!F$20</f>
        <v>2689.9727429455811</v>
      </c>
      <c r="I70" s="19">
        <f>$B70*'CVS Payments'!G$20</f>
        <v>2689.9727429455811</v>
      </c>
      <c r="J70" s="19">
        <f>$B70*'CVS Payments'!H$20</f>
        <v>2689.9727429455811</v>
      </c>
      <c r="K70" s="19">
        <f>$B70*'CVS Payments'!I$20</f>
        <v>2555.5807531071337</v>
      </c>
      <c r="L70" s="19">
        <f>$B70*'CVS Payments'!J$20</f>
        <v>2421.1887577514381</v>
      </c>
      <c r="M70" s="19">
        <f>$B70*'CVS Payments'!K$20</f>
        <v>2419.0558943335323</v>
      </c>
      <c r="N70" s="19">
        <f>$B70*'CVS Payments'!L$20</f>
        <v>2419.0558943335323</v>
      </c>
      <c r="O70" s="39" t="s">
        <v>346</v>
      </c>
      <c r="P70" s="7">
        <f t="shared" si="8"/>
        <v>23173.832271307958</v>
      </c>
    </row>
    <row r="71" spans="1:16" x14ac:dyDescent="0.35">
      <c r="A71" s="3" t="s">
        <v>98</v>
      </c>
      <c r="B71" s="16">
        <v>2.7729291699199999E-3</v>
      </c>
      <c r="C71" s="8" t="s">
        <v>98</v>
      </c>
      <c r="D71" s="33" t="str">
        <f t="shared" si="7"/>
        <v>No</v>
      </c>
      <c r="E71" s="74">
        <v>11333.73</v>
      </c>
      <c r="F71" s="19">
        <v>8266.4</v>
      </c>
      <c r="G71" s="19">
        <f>$B71*'CVS Payments'!E$20</f>
        <v>20285.743320089932</v>
      </c>
      <c r="H71" s="19">
        <f>$B71*'CVS Payments'!F$20</f>
        <v>20285.743320089932</v>
      </c>
      <c r="I71" s="19">
        <f>$B71*'CVS Payments'!G$20</f>
        <v>20285.743320089932</v>
      </c>
      <c r="J71" s="19">
        <f>$B71*'CVS Payments'!H$20</f>
        <v>20285.743320089932</v>
      </c>
      <c r="K71" s="19">
        <f>$B71*'CVS Payments'!I$20</f>
        <v>19272.260407562881</v>
      </c>
      <c r="L71" s="19">
        <f>$B71*'CVS Payments'!J$20</f>
        <v>18258.777453428902</v>
      </c>
      <c r="M71" s="19">
        <f>$B71*'CVS Payments'!K$20</f>
        <v>18242.6930079839</v>
      </c>
      <c r="N71" s="19">
        <f>$B71*'CVS Payments'!L$20</f>
        <v>18242.6930079839</v>
      </c>
      <c r="O71" s="39" t="s">
        <v>346</v>
      </c>
      <c r="P71" s="7">
        <f t="shared" si="8"/>
        <v>174759.52715731933</v>
      </c>
    </row>
    <row r="72" spans="1:16" x14ac:dyDescent="0.35">
      <c r="A72" s="3" t="s">
        <v>99</v>
      </c>
      <c r="B72" s="16">
        <v>1.4646766740742973E-5</v>
      </c>
      <c r="C72" s="8" t="s">
        <v>100</v>
      </c>
      <c r="D72" s="33" t="str">
        <f t="shared" si="7"/>
        <v>Yes</v>
      </c>
      <c r="E72" s="74">
        <v>977.11</v>
      </c>
      <c r="F72" s="19">
        <v>0</v>
      </c>
      <c r="G72" s="52">
        <f>$B72*'CVS Payments'!E$20</f>
        <v>107.15042915449376</v>
      </c>
      <c r="H72" s="52">
        <f>$B72*'CVS Payments'!F$20</f>
        <v>107.15042915449376</v>
      </c>
      <c r="I72" s="52">
        <f>$B72*'CVS Payments'!G$20</f>
        <v>107.15042915449376</v>
      </c>
      <c r="J72" s="52">
        <f>$B72*'CVS Payments'!H$20</f>
        <v>107.15042915449376</v>
      </c>
      <c r="K72" s="52">
        <f>$B72*'CVS Payments'!I$20</f>
        <v>101.79715580855365</v>
      </c>
      <c r="L72" s="52">
        <f>$B72*'CVS Payments'!J$20</f>
        <v>96.443882242843458</v>
      </c>
      <c r="M72" s="52">
        <f>$B72*'CVS Payments'!K$20</f>
        <v>96.358923303703321</v>
      </c>
      <c r="N72" s="52">
        <f>$B72*'CVS Payments'!L$20</f>
        <v>96.358923303703321</v>
      </c>
      <c r="O72" s="39" t="s">
        <v>346</v>
      </c>
      <c r="P72" s="7">
        <f>E73</f>
        <v>847.51</v>
      </c>
    </row>
    <row r="73" spans="1:16" x14ac:dyDescent="0.35">
      <c r="A73" s="3" t="s">
        <v>14</v>
      </c>
      <c r="B73" s="16">
        <v>2.0735405898422254E-4</v>
      </c>
      <c r="C73" s="8" t="s">
        <v>101</v>
      </c>
      <c r="D73" s="33" t="str">
        <f t="shared" si="7"/>
        <v>No</v>
      </c>
      <c r="E73" s="74">
        <v>847.51</v>
      </c>
      <c r="F73" s="19">
        <v>618.14</v>
      </c>
      <c r="G73" s="19">
        <f>$B73*'CVS Payments'!E$20</f>
        <v>1516.9270324543056</v>
      </c>
      <c r="H73" s="19">
        <f>$B73*'CVS Payments'!F$20</f>
        <v>1516.9270324543056</v>
      </c>
      <c r="I73" s="19">
        <f>$B73*'CVS Payments'!G$20</f>
        <v>1516.9270324543056</v>
      </c>
      <c r="J73" s="19">
        <f>$B73*'CVS Payments'!H$20</f>
        <v>1516.9270324543056</v>
      </c>
      <c r="K73" s="19">
        <f>$B73*'CVS Payments'!I$20</f>
        <v>1441.1408212869646</v>
      </c>
      <c r="L73" s="19">
        <f>$B73*'CVS Payments'!J$20</f>
        <v>1365.3546070083421</v>
      </c>
      <c r="M73" s="19">
        <f>$B73*'CVS Payments'!K$20</f>
        <v>1364.1518445700833</v>
      </c>
      <c r="N73" s="19">
        <f>$B73*'CVS Payments'!L$20</f>
        <v>1364.1518445700833</v>
      </c>
      <c r="O73" s="39" t="s">
        <v>346</v>
      </c>
      <c r="P73" s="7">
        <f t="shared" si="8"/>
        <v>13068.157247252697</v>
      </c>
    </row>
    <row r="74" spans="1:16" x14ac:dyDescent="0.35">
      <c r="A74" s="3" t="s">
        <v>102</v>
      </c>
      <c r="B74" s="16">
        <v>1.9287731411200004E-3</v>
      </c>
      <c r="C74" s="8" t="s">
        <v>103</v>
      </c>
      <c r="D74" s="33" t="str">
        <f t="shared" si="7"/>
        <v>No</v>
      </c>
      <c r="E74" s="74">
        <v>7883.43</v>
      </c>
      <c r="F74" s="19">
        <v>5749.88</v>
      </c>
      <c r="G74" s="19">
        <f>$B74*'CVS Payments'!E$20</f>
        <v>14110.204215772574</v>
      </c>
      <c r="H74" s="19">
        <f>$B74*'CVS Payments'!F$20</f>
        <v>14110.204215772574</v>
      </c>
      <c r="I74" s="19">
        <f>$B74*'CVS Payments'!G$20</f>
        <v>14110.204215772574</v>
      </c>
      <c r="J74" s="19">
        <f>$B74*'CVS Payments'!H$20</f>
        <v>14110.204215772574</v>
      </c>
      <c r="K74" s="19">
        <f>$B74*'CVS Payments'!I$20</f>
        <v>13405.25342154704</v>
      </c>
      <c r="L74" s="19">
        <f>$B74*'CVS Payments'!J$20</f>
        <v>12700.302598380878</v>
      </c>
      <c r="M74" s="19">
        <f>$B74*'CVS Payments'!K$20</f>
        <v>12689.114701228415</v>
      </c>
      <c r="N74" s="19">
        <f>$B74*'CVS Payments'!L$20</f>
        <v>12689.114701228415</v>
      </c>
      <c r="O74" s="39" t="s">
        <v>346</v>
      </c>
      <c r="P74" s="7">
        <f t="shared" si="8"/>
        <v>121557.91228547505</v>
      </c>
    </row>
    <row r="75" spans="1:16" x14ac:dyDescent="0.35">
      <c r="A75" s="3" t="s">
        <v>75</v>
      </c>
      <c r="B75" s="16">
        <v>1.6772498197081106E-3</v>
      </c>
      <c r="C75" s="8" t="s">
        <v>104</v>
      </c>
      <c r="D75" s="33" t="str">
        <f t="shared" si="7"/>
        <v>No</v>
      </c>
      <c r="E75" s="74">
        <v>6855.39</v>
      </c>
      <c r="F75" s="19">
        <v>5000.0600000000004</v>
      </c>
      <c r="G75" s="19">
        <f>$B75*'CVS Payments'!E$20</f>
        <v>12270.150891465961</v>
      </c>
      <c r="H75" s="19">
        <f>$B75*'CVS Payments'!F$20</f>
        <v>12270.150891465961</v>
      </c>
      <c r="I75" s="19">
        <f>$B75*'CVS Payments'!G$20</f>
        <v>12270.150891465961</v>
      </c>
      <c r="J75" s="19">
        <f>$B75*'CVS Payments'!H$20</f>
        <v>12270.150891465961</v>
      </c>
      <c r="K75" s="19">
        <f>$B75*'CVS Payments'!I$20</f>
        <v>11657.129812257401</v>
      </c>
      <c r="L75" s="19">
        <f>$B75*'CVS Payments'!J$20</f>
        <v>11044.10870788224</v>
      </c>
      <c r="M75" s="19">
        <f>$B75*'CVS Payments'!K$20</f>
        <v>11034.379778086492</v>
      </c>
      <c r="N75" s="19">
        <f>$B75*'CVS Payments'!L$20</f>
        <v>11034.379778086492</v>
      </c>
      <c r="O75" s="39" t="s">
        <v>346</v>
      </c>
      <c r="P75" s="7">
        <f t="shared" si="8"/>
        <v>105706.05164217649</v>
      </c>
    </row>
    <row r="76" spans="1:16" x14ac:dyDescent="0.35">
      <c r="A76" s="3" t="s">
        <v>92</v>
      </c>
      <c r="B76" s="16">
        <v>1.0040382409120001E-2</v>
      </c>
      <c r="C76" s="8" t="s">
        <v>92</v>
      </c>
      <c r="D76" s="33" t="str">
        <f t="shared" si="7"/>
        <v>No</v>
      </c>
      <c r="E76" s="74">
        <v>41037.839999999997</v>
      </c>
      <c r="F76" s="19">
        <v>29931.46</v>
      </c>
      <c r="G76" s="19">
        <f>$B76*'CVS Payments'!E$20</f>
        <v>73451.793358584298</v>
      </c>
      <c r="H76" s="19">
        <f>$B76*'CVS Payments'!F$20</f>
        <v>73451.793358584298</v>
      </c>
      <c r="I76" s="19">
        <f>$B76*'CVS Payments'!G$20</f>
        <v>73451.793358584298</v>
      </c>
      <c r="J76" s="19">
        <f>$B76*'CVS Payments'!H$20</f>
        <v>73451.793358584298</v>
      </c>
      <c r="K76" s="19">
        <f>$B76*'CVS Payments'!I$20</f>
        <v>69782.11577818873</v>
      </c>
      <c r="L76" s="19">
        <f>$B76*'CVS Payments'!J$20</f>
        <v>66112.4380471404</v>
      </c>
      <c r="M76" s="19">
        <f>$B76*'CVS Payments'!K$20</f>
        <v>66054.198556258954</v>
      </c>
      <c r="N76" s="19">
        <f>$B76*'CVS Payments'!L$20</f>
        <v>66054.198556258954</v>
      </c>
      <c r="O76" s="39" t="s">
        <v>346</v>
      </c>
      <c r="P76" s="7">
        <f t="shared" si="8"/>
        <v>632779.42437218409</v>
      </c>
    </row>
    <row r="77" spans="1:16" x14ac:dyDescent="0.35">
      <c r="A77" s="3" t="s">
        <v>105</v>
      </c>
      <c r="B77" s="16">
        <v>5.9203304839503929E-5</v>
      </c>
      <c r="C77" s="8" t="s">
        <v>106</v>
      </c>
      <c r="D77" s="33" t="str">
        <f t="shared" si="7"/>
        <v>Yes</v>
      </c>
      <c r="E77" s="74">
        <v>3949.55</v>
      </c>
      <c r="F77" s="19">
        <v>0</v>
      </c>
      <c r="G77" s="52">
        <f>$B77*'CVS Payments'!E$20</f>
        <v>433.10988924750058</v>
      </c>
      <c r="H77" s="52">
        <f>$B77*'CVS Payments'!F$20</f>
        <v>433.10988924750058</v>
      </c>
      <c r="I77" s="52">
        <f>$B77*'CVS Payments'!G$20</f>
        <v>433.10988924750058</v>
      </c>
      <c r="J77" s="52">
        <f>$B77*'CVS Payments'!H$20</f>
        <v>433.10988924750058</v>
      </c>
      <c r="K77" s="52">
        <f>$B77*'CVS Payments'!I$20</f>
        <v>411.47156596436434</v>
      </c>
      <c r="L77" s="52">
        <f>$B77*'CVS Payments'!J$20</f>
        <v>389.83324179290139</v>
      </c>
      <c r="M77" s="52">
        <f>$B77*'CVS Payments'!K$20</f>
        <v>389.4898315330272</v>
      </c>
      <c r="N77" s="52">
        <f>$B77*'CVS Payments'!L$20</f>
        <v>389.4898315330272</v>
      </c>
      <c r="O77" s="39" t="s">
        <v>346</v>
      </c>
      <c r="P77" s="7">
        <f>E78</f>
        <v>7411.29</v>
      </c>
    </row>
    <row r="78" spans="1:16" x14ac:dyDescent="0.35">
      <c r="A78" s="3" t="s">
        <v>107</v>
      </c>
      <c r="B78" s="16">
        <v>1.8132565778312178E-3</v>
      </c>
      <c r="C78" s="8" t="s">
        <v>107</v>
      </c>
      <c r="D78" s="33" t="str">
        <f t="shared" si="7"/>
        <v>No</v>
      </c>
      <c r="E78" s="74">
        <v>7411.29</v>
      </c>
      <c r="F78" s="19">
        <v>5405.51</v>
      </c>
      <c r="G78" s="19">
        <f>$B78*'CVS Payments'!E$20</f>
        <v>13265.126967671507</v>
      </c>
      <c r="H78" s="19">
        <f>$B78*'CVS Payments'!F$20</f>
        <v>13265.126967671507</v>
      </c>
      <c r="I78" s="19">
        <f>$B78*'CVS Payments'!G$20</f>
        <v>13265.126967671507</v>
      </c>
      <c r="J78" s="19">
        <f>$B78*'CVS Payments'!H$20</f>
        <v>13265.126967671507</v>
      </c>
      <c r="K78" s="19">
        <f>$B78*'CVS Payments'!I$20</f>
        <v>12602.396531714416</v>
      </c>
      <c r="L78" s="19">
        <f>$B78*'CVS Payments'!J$20</f>
        <v>11939.666068549983</v>
      </c>
      <c r="M78" s="19">
        <f>$B78*'CVS Payments'!K$20</f>
        <v>11929.148228130438</v>
      </c>
      <c r="N78" s="19">
        <f>$B78*'CVS Payments'!L$20</f>
        <v>11929.148228130438</v>
      </c>
      <c r="O78" s="39" t="s">
        <v>346</v>
      </c>
      <c r="P78" s="7">
        <f t="shared" si="8"/>
        <v>114277.66692721129</v>
      </c>
    </row>
    <row r="79" spans="1:16" x14ac:dyDescent="0.35">
      <c r="A79" s="3" t="s">
        <v>42</v>
      </c>
      <c r="B79" s="16">
        <v>8.1390405570217945E-5</v>
      </c>
      <c r="C79" s="8" t="s">
        <v>108</v>
      </c>
      <c r="D79" s="33" t="str">
        <f t="shared" si="7"/>
        <v>Yes</v>
      </c>
      <c r="E79" s="74">
        <v>5429.68</v>
      </c>
      <c r="F79" s="19">
        <v>0</v>
      </c>
      <c r="G79" s="52">
        <f>$B79*'CVS Payments'!E$20</f>
        <v>595.42266496590435</v>
      </c>
      <c r="H79" s="52">
        <f>$B79*'CVS Payments'!F$20</f>
        <v>595.42266496590435</v>
      </c>
      <c r="I79" s="52">
        <f>$B79*'CVS Payments'!G$20</f>
        <v>595.42266496590435</v>
      </c>
      <c r="J79" s="52">
        <f>$B79*'CVS Payments'!H$20</f>
        <v>595.42266496590435</v>
      </c>
      <c r="K79" s="52">
        <f>$B79*'CVS Payments'!I$20</f>
        <v>565.67513798834273</v>
      </c>
      <c r="L79" s="52">
        <f>$B79*'CVS Payments'!J$20</f>
        <v>535.92760978954391</v>
      </c>
      <c r="M79" s="52">
        <f>$B79*'CVS Payments'!K$20</f>
        <v>535.45550269342993</v>
      </c>
      <c r="N79" s="52">
        <f>$B79*'CVS Payments'!L$20</f>
        <v>535.45550269342993</v>
      </c>
      <c r="O79" s="39" t="s">
        <v>346</v>
      </c>
      <c r="P79" s="7">
        <f>E80</f>
        <v>739.88</v>
      </c>
    </row>
    <row r="80" spans="1:16" x14ac:dyDescent="0.35">
      <c r="A80" s="3" t="s">
        <v>94</v>
      </c>
      <c r="B80" s="16">
        <v>1.8102084784E-4</v>
      </c>
      <c r="C80" s="8" t="s">
        <v>109</v>
      </c>
      <c r="D80" s="33" t="str">
        <f t="shared" si="7"/>
        <v>No</v>
      </c>
      <c r="E80" s="74">
        <v>739.88</v>
      </c>
      <c r="F80" s="19">
        <v>539.64</v>
      </c>
      <c r="G80" s="19">
        <f>$B80*'CVS Payments'!E$20</f>
        <v>1324.2828178598011</v>
      </c>
      <c r="H80" s="19">
        <f>$B80*'CVS Payments'!F$20</f>
        <v>1324.2828178598011</v>
      </c>
      <c r="I80" s="19">
        <f>$B80*'CVS Payments'!G$20</f>
        <v>1324.2828178598011</v>
      </c>
      <c r="J80" s="19">
        <f>$B80*'CVS Payments'!H$20</f>
        <v>1324.2828178598011</v>
      </c>
      <c r="K80" s="19">
        <f>$B80*'CVS Payments'!I$20</f>
        <v>1258.1211798031416</v>
      </c>
      <c r="L80" s="19">
        <f>$B80*'CVS Payments'!J$20</f>
        <v>1191.9595390303218</v>
      </c>
      <c r="M80" s="19">
        <f>$B80*'CVS Payments'!K$20</f>
        <v>1190.9095230461146</v>
      </c>
      <c r="N80" s="19">
        <f>$B80*'CVS Payments'!L$20</f>
        <v>1190.9095230461146</v>
      </c>
      <c r="O80" s="39" t="s">
        <v>346</v>
      </c>
      <c r="P80" s="7">
        <f t="shared" si="8"/>
        <v>11408.551036364899</v>
      </c>
    </row>
    <row r="81" spans="1:16" x14ac:dyDescent="0.35">
      <c r="A81" s="3" t="s">
        <v>34</v>
      </c>
      <c r="B81" s="16">
        <v>2.2024727769051096E-4</v>
      </c>
      <c r="C81" s="8" t="s">
        <v>110</v>
      </c>
      <c r="D81" s="33" t="str">
        <f t="shared" si="7"/>
        <v>No</v>
      </c>
      <c r="E81" s="74">
        <v>900.21</v>
      </c>
      <c r="F81" s="19">
        <v>656.58</v>
      </c>
      <c r="G81" s="19">
        <f>$B81*'CVS Payments'!E$20</f>
        <v>1611.2491406721274</v>
      </c>
      <c r="H81" s="19">
        <f>$B81*'CVS Payments'!F$20</f>
        <v>1611.2491406721274</v>
      </c>
      <c r="I81" s="19">
        <f>$B81*'CVS Payments'!G$20</f>
        <v>1611.2491406721274</v>
      </c>
      <c r="J81" s="19">
        <f>$B81*'CVS Payments'!H$20</f>
        <v>1611.2491406721274</v>
      </c>
      <c r="K81" s="19">
        <f>$B81*'CVS Payments'!I$20</f>
        <v>1530.7505636109709</v>
      </c>
      <c r="L81" s="19">
        <f>$B81*'CVS Payments'!J$20</f>
        <v>1450.2519832450739</v>
      </c>
      <c r="M81" s="19">
        <f>$B81*'CVS Payments'!K$20</f>
        <v>1448.9744333671858</v>
      </c>
      <c r="N81" s="19">
        <f>$B81*'CVS Payments'!L$20</f>
        <v>1448.9744333671858</v>
      </c>
      <c r="O81" s="39" t="s">
        <v>346</v>
      </c>
      <c r="P81" s="7">
        <f t="shared" si="8"/>
        <v>13880.737976278928</v>
      </c>
    </row>
    <row r="82" spans="1:16" x14ac:dyDescent="0.35">
      <c r="A82" s="3" t="s">
        <v>34</v>
      </c>
      <c r="B82" s="16">
        <v>1.6511895197089239E-3</v>
      </c>
      <c r="C82" s="8" t="s">
        <v>111</v>
      </c>
      <c r="D82" s="33" t="str">
        <f t="shared" si="7"/>
        <v>No</v>
      </c>
      <c r="E82" s="74">
        <v>6748.87</v>
      </c>
      <c r="F82" s="19">
        <v>4922.37</v>
      </c>
      <c r="G82" s="19">
        <f>$B82*'CVS Payments'!E$20</f>
        <v>12079.50319575028</v>
      </c>
      <c r="H82" s="19">
        <f>$B82*'CVS Payments'!F$20</f>
        <v>12079.50319575028</v>
      </c>
      <c r="I82" s="19">
        <f>$B82*'CVS Payments'!G$20</f>
        <v>12079.50319575028</v>
      </c>
      <c r="J82" s="19">
        <f>$B82*'CVS Payments'!H$20</f>
        <v>12079.50319575028</v>
      </c>
      <c r="K82" s="19">
        <f>$B82*'CVS Payments'!I$20</f>
        <v>11476.00694286293</v>
      </c>
      <c r="L82" s="19">
        <f>$B82*'CVS Payments'!J$20</f>
        <v>10872.510665200007</v>
      </c>
      <c r="M82" s="19">
        <f>$B82*'CVS Payments'!K$20</f>
        <v>10862.932898830342</v>
      </c>
      <c r="N82" s="19">
        <f>$B82*'CVS Payments'!L$20</f>
        <v>10862.932898830342</v>
      </c>
      <c r="O82" s="39" t="s">
        <v>346</v>
      </c>
      <c r="P82" s="7">
        <f t="shared" si="8"/>
        <v>104063.63618872475</v>
      </c>
    </row>
    <row r="83" spans="1:16" x14ac:dyDescent="0.35">
      <c r="A83" s="3" t="s">
        <v>63</v>
      </c>
      <c r="B83" s="16">
        <v>1.8526953699043198E-5</v>
      </c>
      <c r="C83" s="8" t="s">
        <v>112</v>
      </c>
      <c r="D83" s="33" t="str">
        <f t="shared" si="7"/>
        <v>Yes</v>
      </c>
      <c r="E83" s="74">
        <v>1235.96</v>
      </c>
      <c r="F83" s="19">
        <v>0</v>
      </c>
      <c r="G83" s="52">
        <f>$B83*'CVS Payments'!E$20</f>
        <v>135.53646855423429</v>
      </c>
      <c r="H83" s="52">
        <f>$B83*'CVS Payments'!F$20</f>
        <v>135.53646855423429</v>
      </c>
      <c r="I83" s="52">
        <f>$B83*'CVS Payments'!G$20</f>
        <v>135.53646855423429</v>
      </c>
      <c r="J83" s="52">
        <f>$B83*'CVS Payments'!H$20</f>
        <v>135.53646855423429</v>
      </c>
      <c r="K83" s="52">
        <f>$B83*'CVS Payments'!I$20</f>
        <v>128.76501863807869</v>
      </c>
      <c r="L83" s="52">
        <f>$B83*'CVS Payments'!J$20</f>
        <v>121.99356844393203</v>
      </c>
      <c r="M83" s="52">
        <f>$B83*'CVS Payments'!K$20</f>
        <v>121.88610238267562</v>
      </c>
      <c r="N83" s="52">
        <f>$B83*'CVS Payments'!L$20</f>
        <v>121.88610238267562</v>
      </c>
      <c r="O83" s="39" t="s">
        <v>346</v>
      </c>
      <c r="P83" s="7">
        <f>E84</f>
        <v>1960.29</v>
      </c>
    </row>
    <row r="84" spans="1:16" x14ac:dyDescent="0.35">
      <c r="A84" s="3" t="s">
        <v>113</v>
      </c>
      <c r="B84" s="16">
        <v>4.7960718893470176E-4</v>
      </c>
      <c r="C84" s="8" t="s">
        <v>114</v>
      </c>
      <c r="D84" s="33" t="str">
        <f t="shared" si="7"/>
        <v>No</v>
      </c>
      <c r="E84" s="74">
        <v>1960.29</v>
      </c>
      <c r="F84" s="19">
        <v>1429.76</v>
      </c>
      <c r="G84" s="19">
        <f>$B84*'CVS Payments'!E$20</f>
        <v>3508.6321117534812</v>
      </c>
      <c r="H84" s="19">
        <f>$B84*'CVS Payments'!F$20</f>
        <v>3508.6321117534812</v>
      </c>
      <c r="I84" s="19">
        <f>$B84*'CVS Payments'!G$20</f>
        <v>3508.6321117534812</v>
      </c>
      <c r="J84" s="19">
        <f>$B84*'CVS Payments'!H$20</f>
        <v>3508.6321117534812</v>
      </c>
      <c r="K84" s="19">
        <f>$B84*'CVS Payments'!I$20</f>
        <v>3333.3396102416314</v>
      </c>
      <c r="L84" s="19">
        <f>$B84*'CVS Payments'!J$20</f>
        <v>3158.0471015334274</v>
      </c>
      <c r="M84" s="19">
        <f>$B84*'CVS Payments'!K$20</f>
        <v>3155.2651279622551</v>
      </c>
      <c r="N84" s="19">
        <f>$B84*'CVS Payments'!L$20</f>
        <v>3155.2651279622551</v>
      </c>
      <c r="O84" s="39" t="s">
        <v>346</v>
      </c>
      <c r="P84" s="7">
        <f t="shared" si="8"/>
        <v>30226.495414713492</v>
      </c>
    </row>
    <row r="85" spans="1:16" x14ac:dyDescent="0.35">
      <c r="A85" s="3" t="s">
        <v>34</v>
      </c>
      <c r="B85" s="16">
        <v>8.911313493618362E-4</v>
      </c>
      <c r="C85" s="8" t="s">
        <v>115</v>
      </c>
      <c r="D85" s="33" t="str">
        <f t="shared" si="7"/>
        <v>No</v>
      </c>
      <c r="E85" s="74">
        <v>3642.3</v>
      </c>
      <c r="F85" s="19">
        <v>2656.56</v>
      </c>
      <c r="G85" s="19">
        <f>$B85*'CVS Payments'!E$20</f>
        <v>6519.1934989674237</v>
      </c>
      <c r="H85" s="19">
        <f>$B85*'CVS Payments'!F$20</f>
        <v>6519.1934989674237</v>
      </c>
      <c r="I85" s="19">
        <f>$B85*'CVS Payments'!G$20</f>
        <v>6519.1934989674237</v>
      </c>
      <c r="J85" s="19">
        <f>$B85*'CVS Payments'!H$20</f>
        <v>6519.1934989674237</v>
      </c>
      <c r="K85" s="19">
        <f>$B85*'CVS Payments'!I$20</f>
        <v>6193.4922855385012</v>
      </c>
      <c r="L85" s="19">
        <f>$B85*'CVS Payments'!J$20</f>
        <v>5867.7910587384367</v>
      </c>
      <c r="M85" s="19">
        <f>$B85*'CVS Payments'!K$20</f>
        <v>5862.6220289166058</v>
      </c>
      <c r="N85" s="19">
        <f>$B85*'CVS Payments'!L$20</f>
        <v>5862.6220289166058</v>
      </c>
      <c r="O85" s="39" t="s">
        <v>346</v>
      </c>
      <c r="P85" s="7">
        <f t="shared" si="8"/>
        <v>56162.161397979849</v>
      </c>
    </row>
    <row r="86" spans="1:16" x14ac:dyDescent="0.35">
      <c r="A86" s="3" t="s">
        <v>116</v>
      </c>
      <c r="B86" s="16">
        <v>1.717819666839331E-4</v>
      </c>
      <c r="C86" s="8" t="s">
        <v>117</v>
      </c>
      <c r="D86" s="33" t="str">
        <f t="shared" si="7"/>
        <v>No</v>
      </c>
      <c r="E86" s="74">
        <v>702.12</v>
      </c>
      <c r="F86" s="19">
        <v>512.1</v>
      </c>
      <c r="G86" s="19">
        <f>$B86*'CVS Payments'!E$20</f>
        <v>1256.6945167485267</v>
      </c>
      <c r="H86" s="19">
        <f>$B86*'CVS Payments'!F$20</f>
        <v>1256.6945167485267</v>
      </c>
      <c r="I86" s="19">
        <f>$B86*'CVS Payments'!G$20</f>
        <v>1256.6945167485267</v>
      </c>
      <c r="J86" s="19">
        <f>$B86*'CVS Payments'!H$20</f>
        <v>1256.6945167485267</v>
      </c>
      <c r="K86" s="19">
        <f>$B86*'CVS Payments'!I$20</f>
        <v>1193.9096141253267</v>
      </c>
      <c r="L86" s="19">
        <f>$B86*'CVS Payments'!J$20</f>
        <v>1131.1247089245928</v>
      </c>
      <c r="M86" s="19">
        <f>$B86*'CVS Payments'!K$20</f>
        <v>1130.1282833030748</v>
      </c>
      <c r="N86" s="19">
        <f>$B86*'CVS Payments'!L$20</f>
        <v>1130.1282833030748</v>
      </c>
      <c r="O86" s="39" t="s">
        <v>346</v>
      </c>
      <c r="P86" s="7">
        <f t="shared" si="8"/>
        <v>10826.288956650174</v>
      </c>
    </row>
    <row r="87" spans="1:16" x14ac:dyDescent="0.35">
      <c r="A87" s="3" t="s">
        <v>63</v>
      </c>
      <c r="B87" s="16">
        <v>2.5575490326387143E-4</v>
      </c>
      <c r="C87" s="8" t="s">
        <v>118</v>
      </c>
      <c r="D87" s="33" t="str">
        <f t="shared" si="7"/>
        <v>No</v>
      </c>
      <c r="E87" s="74">
        <v>1045.3399999999999</v>
      </c>
      <c r="F87" s="19">
        <v>762.43</v>
      </c>
      <c r="G87" s="19">
        <f>$B87*'CVS Payments'!E$20</f>
        <v>1871.0100412031109</v>
      </c>
      <c r="H87" s="19">
        <f>$B87*'CVS Payments'!F$20</f>
        <v>1871.0100412031109</v>
      </c>
      <c r="I87" s="19">
        <f>$B87*'CVS Payments'!G$20</f>
        <v>1871.0100412031109</v>
      </c>
      <c r="J87" s="19">
        <f>$B87*'CVS Payments'!H$20</f>
        <v>1871.0100412031109</v>
      </c>
      <c r="K87" s="19">
        <f>$B87*'CVS Payments'!I$20</f>
        <v>1777.5337176587841</v>
      </c>
      <c r="L87" s="19">
        <f>$B87*'CVS Payments'!J$20</f>
        <v>1684.0573902769361</v>
      </c>
      <c r="M87" s="19">
        <f>$B87*'CVS Payments'!K$20</f>
        <v>1682.5738775231798</v>
      </c>
      <c r="N87" s="19">
        <f>$B87*'CVS Payments'!L$20</f>
        <v>1682.5738775231798</v>
      </c>
      <c r="O87" s="39" t="s">
        <v>346</v>
      </c>
      <c r="P87" s="7">
        <f t="shared" si="8"/>
        <v>16118.549027794523</v>
      </c>
    </row>
    <row r="88" spans="1:16" x14ac:dyDescent="0.35">
      <c r="A88" s="3" t="s">
        <v>63</v>
      </c>
      <c r="B88" s="16">
        <v>2.9548125614560005E-2</v>
      </c>
      <c r="C88" s="8" t="s">
        <v>119</v>
      </c>
      <c r="D88" s="33" t="str">
        <f t="shared" si="7"/>
        <v>No</v>
      </c>
      <c r="E88" s="74">
        <v>120771.43</v>
      </c>
      <c r="F88" s="19">
        <v>88086.13</v>
      </c>
      <c r="G88" s="19">
        <f>$B88*'CVS Payments'!E$20</f>
        <v>216163.36194553142</v>
      </c>
      <c r="H88" s="19">
        <f>$B88*'CVS Payments'!F$20</f>
        <v>216163.36194553142</v>
      </c>
      <c r="I88" s="19">
        <f>$B88*'CVS Payments'!G$20</f>
        <v>216163.36194553142</v>
      </c>
      <c r="J88" s="19">
        <f>$B88*'CVS Payments'!H$20</f>
        <v>216163.36194553142</v>
      </c>
      <c r="K88" s="19">
        <f>$B88*'CVS Payments'!I$20</f>
        <v>205363.76391309284</v>
      </c>
      <c r="L88" s="19">
        <f>$B88*'CVS Payments'!J$20</f>
        <v>194564.16543729402</v>
      </c>
      <c r="M88" s="19">
        <f>$B88*'CVS Payments'!K$20</f>
        <v>194392.77079093776</v>
      </c>
      <c r="N88" s="19">
        <f>$B88*'CVS Payments'!L$20</f>
        <v>194392.77079093776</v>
      </c>
      <c r="O88" s="39" t="s">
        <v>346</v>
      </c>
      <c r="P88" s="7">
        <f t="shared" si="8"/>
        <v>1862224.4787143881</v>
      </c>
    </row>
    <row r="89" spans="1:16" x14ac:dyDescent="0.35">
      <c r="A89" s="3" t="s">
        <v>63</v>
      </c>
      <c r="B89" s="16">
        <v>3.7431147041579692E-5</v>
      </c>
      <c r="C89" s="8" t="s">
        <v>120</v>
      </c>
      <c r="D89" s="33" t="str">
        <f t="shared" si="7"/>
        <v>Yes</v>
      </c>
      <c r="E89" s="74">
        <v>2497.09</v>
      </c>
      <c r="F89" s="19">
        <v>0</v>
      </c>
      <c r="G89" s="52">
        <f>$B89*'CVS Payments'!E$20</f>
        <v>273.83268541400787</v>
      </c>
      <c r="H89" s="52">
        <f>$B89*'CVS Payments'!F$20</f>
        <v>273.83268541400787</v>
      </c>
      <c r="I89" s="52">
        <f>$B89*'CVS Payments'!G$20</f>
        <v>273.83268541400787</v>
      </c>
      <c r="J89" s="52">
        <f>$B89*'CVS Payments'!H$20</f>
        <v>273.83268541400787</v>
      </c>
      <c r="K89" s="52">
        <f>$B89*'CVS Payments'!I$20</f>
        <v>260.15190758006736</v>
      </c>
      <c r="L89" s="52">
        <f>$B89*'CVS Payments'!J$20</f>
        <v>246.47112918448437</v>
      </c>
      <c r="M89" s="52">
        <f>$B89*'CVS Payments'!K$20</f>
        <v>246.25400887392428</v>
      </c>
      <c r="N89" s="52">
        <f>$B89*'CVS Payments'!L$20</f>
        <v>246.25400887392428</v>
      </c>
      <c r="O89" s="39" t="s">
        <v>346</v>
      </c>
      <c r="P89" s="7">
        <f>E90</f>
        <v>385.91</v>
      </c>
    </row>
    <row r="90" spans="1:16" x14ac:dyDescent="0.35">
      <c r="A90" s="3" t="s">
        <v>121</v>
      </c>
      <c r="B90" s="16">
        <v>9.4416380822506951E-5</v>
      </c>
      <c r="C90" s="8" t="s">
        <v>122</v>
      </c>
      <c r="D90" s="33" t="str">
        <f t="shared" si="7"/>
        <v>No</v>
      </c>
      <c r="E90" s="74">
        <v>385.91</v>
      </c>
      <c r="F90" s="19">
        <v>281.47000000000003</v>
      </c>
      <c r="G90" s="19">
        <f>$B90*'CVS Payments'!E$20</f>
        <v>690.71597188776911</v>
      </c>
      <c r="H90" s="19">
        <f>$B90*'CVS Payments'!F$20</f>
        <v>690.71597188776911</v>
      </c>
      <c r="I90" s="19">
        <f>$B90*'CVS Payments'!G$20</f>
        <v>690.71597188776911</v>
      </c>
      <c r="J90" s="19">
        <f>$B90*'CVS Payments'!H$20</f>
        <v>690.71597188776911</v>
      </c>
      <c r="K90" s="19">
        <f>$B90*'CVS Payments'!I$20</f>
        <v>656.20755758556811</v>
      </c>
      <c r="L90" s="19">
        <f>$B90*'CVS Payments'!J$20</f>
        <v>621.69914186667916</v>
      </c>
      <c r="M90" s="19">
        <f>$B90*'CVS Payments'!K$20</f>
        <v>621.15147727324927</v>
      </c>
      <c r="N90" s="19">
        <f>$B90*'CVS Payments'!L$20</f>
        <v>621.15147727324927</v>
      </c>
      <c r="O90" s="39" t="s">
        <v>346</v>
      </c>
      <c r="P90" s="7">
        <f t="shared" si="8"/>
        <v>5950.4535415498221</v>
      </c>
    </row>
    <row r="91" spans="1:16" x14ac:dyDescent="0.35">
      <c r="A91" s="3" t="s">
        <v>75</v>
      </c>
      <c r="B91" s="16">
        <v>8.0090683849233263E-4</v>
      </c>
      <c r="C91" s="8" t="s">
        <v>123</v>
      </c>
      <c r="D91" s="33" t="str">
        <f t="shared" si="7"/>
        <v>No</v>
      </c>
      <c r="E91" s="74">
        <v>3273.53</v>
      </c>
      <c r="F91" s="19">
        <v>2387.59</v>
      </c>
      <c r="G91" s="19">
        <f>$B91*'CVS Payments'!E$20</f>
        <v>5859.1437261374103</v>
      </c>
      <c r="H91" s="19">
        <f>$B91*'CVS Payments'!F$20</f>
        <v>5859.1437261374103</v>
      </c>
      <c r="I91" s="19">
        <f>$B91*'CVS Payments'!G$20</f>
        <v>5859.1437261374103</v>
      </c>
      <c r="J91" s="19">
        <f>$B91*'CVS Payments'!H$20</f>
        <v>5859.1437261374103</v>
      </c>
      <c r="K91" s="19">
        <f>$B91*'CVS Payments'!I$20</f>
        <v>5566.4188328573327</v>
      </c>
      <c r="L91" s="19">
        <f>$B91*'CVS Payments'!J$20</f>
        <v>5273.6939275599034</v>
      </c>
      <c r="M91" s="19">
        <f>$B91*'CVS Payments'!K$20</f>
        <v>5269.0482472843305</v>
      </c>
      <c r="N91" s="19">
        <f>$B91*'CVS Payments'!L$20</f>
        <v>5269.0482472843305</v>
      </c>
      <c r="O91" s="39" t="s">
        <v>346</v>
      </c>
      <c r="P91" s="7">
        <f t="shared" si="8"/>
        <v>50475.904159535523</v>
      </c>
    </row>
    <row r="92" spans="1:16" x14ac:dyDescent="0.35">
      <c r="A92" s="3" t="s">
        <v>45</v>
      </c>
      <c r="B92" s="16">
        <v>4.8883853430216079E-4</v>
      </c>
      <c r="C92" s="8" t="s">
        <v>124</v>
      </c>
      <c r="D92" s="33" t="str">
        <f t="shared" si="7"/>
        <v>No</v>
      </c>
      <c r="E92" s="74">
        <v>1998.02</v>
      </c>
      <c r="F92" s="19">
        <v>1457.28</v>
      </c>
      <c r="G92" s="19">
        <f>$B92*'CVS Payments'!E$20</f>
        <v>3576.1652837705574</v>
      </c>
      <c r="H92" s="19">
        <f>$B92*'CVS Payments'!F$20</f>
        <v>3576.1652837705574</v>
      </c>
      <c r="I92" s="19">
        <f>$B92*'CVS Payments'!G$20</f>
        <v>3576.1652837705574</v>
      </c>
      <c r="J92" s="19">
        <f>$B92*'CVS Payments'!H$20</f>
        <v>3576.1652837705574</v>
      </c>
      <c r="K92" s="19">
        <f>$B92*'CVS Payments'!I$20</f>
        <v>3397.4988010942961</v>
      </c>
      <c r="L92" s="19">
        <f>$B92*'CVS Payments'!J$20</f>
        <v>3218.8323110831684</v>
      </c>
      <c r="M92" s="19">
        <f>$B92*'CVS Payments'!K$20</f>
        <v>3215.9967908608382</v>
      </c>
      <c r="N92" s="19">
        <f>$B92*'CVS Payments'!L$20</f>
        <v>3215.9967908608382</v>
      </c>
      <c r="O92" s="39" t="s">
        <v>346</v>
      </c>
      <c r="P92" s="7">
        <f t="shared" si="8"/>
        <v>30808.285828981374</v>
      </c>
    </row>
    <row r="93" spans="1:16" x14ac:dyDescent="0.35">
      <c r="A93" s="3" t="s">
        <v>105</v>
      </c>
      <c r="B93" s="16">
        <v>1.2927096154735895E-4</v>
      </c>
      <c r="C93" s="8" t="s">
        <v>125</v>
      </c>
      <c r="D93" s="33" t="str">
        <f t="shared" si="7"/>
        <v>No</v>
      </c>
      <c r="E93" s="74">
        <v>528.37</v>
      </c>
      <c r="F93" s="19">
        <v>385.37</v>
      </c>
      <c r="G93" s="19">
        <f>$B93*'CVS Payments'!E$20</f>
        <v>945.69943334203356</v>
      </c>
      <c r="H93" s="19">
        <f>$B93*'CVS Payments'!F$20</f>
        <v>945.69943334203356</v>
      </c>
      <c r="I93" s="19">
        <f>$B93*'CVS Payments'!G$20</f>
        <v>945.69943334203356</v>
      </c>
      <c r="J93" s="19">
        <f>$B93*'CVS Payments'!H$20</f>
        <v>945.69943334203356</v>
      </c>
      <c r="K93" s="19">
        <f>$B93*'CVS Payments'!I$20</f>
        <v>898.45195510299516</v>
      </c>
      <c r="L93" s="19">
        <f>$B93*'CVS Payments'!J$20</f>
        <v>851.20447492428696</v>
      </c>
      <c r="M93" s="19">
        <f>$B93*'CVS Payments'!K$20</f>
        <v>850.45463545806956</v>
      </c>
      <c r="N93" s="19">
        <f>$B93*'CVS Payments'!L$20</f>
        <v>850.45463545806956</v>
      </c>
      <c r="O93" s="39" t="s">
        <v>346</v>
      </c>
      <c r="P93" s="7">
        <f t="shared" si="8"/>
        <v>8147.1034343115562</v>
      </c>
    </row>
    <row r="94" spans="1:16" x14ac:dyDescent="0.35">
      <c r="A94" s="3" t="s">
        <v>14</v>
      </c>
      <c r="B94" s="16">
        <v>8.9914131120183972E-5</v>
      </c>
      <c r="C94" s="8" t="s">
        <v>126</v>
      </c>
      <c r="D94" s="33" t="str">
        <f t="shared" si="7"/>
        <v>No</v>
      </c>
      <c r="E94" s="74">
        <v>367.5</v>
      </c>
      <c r="F94" s="19">
        <v>268.04000000000002</v>
      </c>
      <c r="G94" s="19">
        <f>$B94*'CVS Payments'!E$20</f>
        <v>657.77914724218681</v>
      </c>
      <c r="H94" s="19">
        <f>$B94*'CVS Payments'!F$20</f>
        <v>657.77914724218681</v>
      </c>
      <c r="I94" s="19">
        <f>$B94*'CVS Payments'!G$20</f>
        <v>657.77914724218681</v>
      </c>
      <c r="J94" s="19">
        <f>$B94*'CVS Payments'!H$20</f>
        <v>657.77914724218681</v>
      </c>
      <c r="K94" s="19">
        <f>$B94*'CVS Payments'!I$20</f>
        <v>624.9162683509627</v>
      </c>
      <c r="L94" s="19">
        <f>$B94*'CVS Payments'!J$20</f>
        <v>592.05338811060562</v>
      </c>
      <c r="M94" s="19">
        <f>$B94*'CVS Payments'!K$20</f>
        <v>591.53183892989614</v>
      </c>
      <c r="N94" s="19">
        <f>$B94*'CVS Payments'!L$20</f>
        <v>591.53183892989614</v>
      </c>
      <c r="O94" s="39" t="s">
        <v>346</v>
      </c>
      <c r="P94" s="7">
        <f t="shared" si="8"/>
        <v>5666.6899232901078</v>
      </c>
    </row>
    <row r="95" spans="1:16" x14ac:dyDescent="0.35">
      <c r="A95" s="3" t="s">
        <v>22</v>
      </c>
      <c r="B95" s="16">
        <v>3.6022982039200801E-4</v>
      </c>
      <c r="C95" s="8" t="s">
        <v>127</v>
      </c>
      <c r="D95" s="33" t="str">
        <f t="shared" si="7"/>
        <v>No</v>
      </c>
      <c r="E95" s="74">
        <v>1472.36</v>
      </c>
      <c r="F95" s="19">
        <v>1073.8800000000001</v>
      </c>
      <c r="G95" s="19">
        <f>$B95*'CVS Payments'!E$20</f>
        <v>2635.3106137670288</v>
      </c>
      <c r="H95" s="19">
        <f>$B95*'CVS Payments'!F$20</f>
        <v>2635.3106137670288</v>
      </c>
      <c r="I95" s="19">
        <f>$B95*'CVS Payments'!G$20</f>
        <v>2635.3106137670288</v>
      </c>
      <c r="J95" s="19">
        <f>$B95*'CVS Payments'!H$20</f>
        <v>2635.3106137670288</v>
      </c>
      <c r="K95" s="19">
        <f>$B95*'CVS Payments'!I$20</f>
        <v>2503.6495632395381</v>
      </c>
      <c r="L95" s="19">
        <f>$B95*'CVS Payments'!J$20</f>
        <v>2371.9885073069136</v>
      </c>
      <c r="M95" s="19">
        <f>$B95*'CVS Payments'!K$20</f>
        <v>2369.898985166712</v>
      </c>
      <c r="N95" s="19">
        <f>$B95*'CVS Payments'!L$20</f>
        <v>2369.898985166712</v>
      </c>
      <c r="O95" s="39" t="s">
        <v>346</v>
      </c>
      <c r="P95" s="7">
        <f t="shared" si="8"/>
        <v>22702.918495947997</v>
      </c>
    </row>
    <row r="96" spans="1:16" x14ac:dyDescent="0.35">
      <c r="A96" s="3" t="s">
        <v>99</v>
      </c>
      <c r="B96" s="16">
        <v>4.0665701695608492E-6</v>
      </c>
      <c r="C96" s="8" t="s">
        <v>128</v>
      </c>
      <c r="D96" s="33" t="str">
        <f t="shared" si="7"/>
        <v>Yes</v>
      </c>
      <c r="E96" s="74">
        <v>0</v>
      </c>
      <c r="F96" s="19">
        <v>0</v>
      </c>
      <c r="G96" s="52">
        <f>$B96*'CVS Payments'!E$20</f>
        <v>29.749551322014458</v>
      </c>
      <c r="H96" s="52">
        <f>$B96*'CVS Payments'!F$20</f>
        <v>29.749551322014458</v>
      </c>
      <c r="I96" s="52">
        <f>$B96*'CVS Payments'!G$20</f>
        <v>29.749551322014458</v>
      </c>
      <c r="J96" s="52">
        <f>$B96*'CVS Payments'!H$20</f>
        <v>29.749551322014458</v>
      </c>
      <c r="K96" s="52">
        <f>$B96*'CVS Payments'!I$20</f>
        <v>28.263253213808156</v>
      </c>
      <c r="L96" s="52">
        <f>$B96*'CVS Payments'!J$20</f>
        <v>26.776955044584259</v>
      </c>
      <c r="M96" s="52">
        <f>$B96*'CVS Payments'!K$20</f>
        <v>26.753366801959778</v>
      </c>
      <c r="N96" s="52">
        <f>$B96*'CVS Payments'!L$20</f>
        <v>26.753366801959778</v>
      </c>
      <c r="O96" s="39" t="s">
        <v>346</v>
      </c>
      <c r="P96" s="7">
        <f>E97</f>
        <v>0</v>
      </c>
    </row>
    <row r="97" spans="1:16" x14ac:dyDescent="0.35">
      <c r="A97" s="3" t="s">
        <v>63</v>
      </c>
      <c r="B97" s="16">
        <v>1.2946224462663598E-4</v>
      </c>
      <c r="C97" s="8" t="s">
        <v>129</v>
      </c>
      <c r="D97" s="33" t="str">
        <f t="shared" si="7"/>
        <v>No</v>
      </c>
      <c r="E97" s="74">
        <v>0</v>
      </c>
      <c r="F97" s="19">
        <v>0</v>
      </c>
      <c r="G97" s="19">
        <f>$B97*'CVS Payments'!E$20</f>
        <v>947.09879092021583</v>
      </c>
      <c r="H97" s="19">
        <f>$B97*'CVS Payments'!F$20</f>
        <v>947.09879092021583</v>
      </c>
      <c r="I97" s="19">
        <f>$B97*'CVS Payments'!G$20</f>
        <v>947.09879092021583</v>
      </c>
      <c r="J97" s="19">
        <f>$B97*'CVS Payments'!H$20</f>
        <v>947.09879092021583</v>
      </c>
      <c r="K97" s="19">
        <f>$B97*'CVS Payments'!I$20</f>
        <v>899.78140028153666</v>
      </c>
      <c r="L97" s="19">
        <f>$B97*'CVS Payments'!J$20</f>
        <v>852.46400770031767</v>
      </c>
      <c r="M97" s="19">
        <f>$B97*'CVS Payments'!K$20</f>
        <v>851.71305869178434</v>
      </c>
      <c r="N97" s="19">
        <f>$B97*'CVS Payments'!L$20</f>
        <v>851.71305869178434</v>
      </c>
      <c r="O97" s="39" t="s">
        <v>346</v>
      </c>
      <c r="P97" s="7">
        <f t="shared" si="8"/>
        <v>7244.0666890462871</v>
      </c>
    </row>
    <row r="98" spans="1:16" x14ac:dyDescent="0.35">
      <c r="A98" s="3" t="s">
        <v>63</v>
      </c>
      <c r="B98" s="16">
        <v>2.0590679067840002E-2</v>
      </c>
      <c r="C98" s="8" t="s">
        <v>63</v>
      </c>
      <c r="D98" s="33" t="str">
        <f t="shared" si="7"/>
        <v>No</v>
      </c>
      <c r="E98" s="74">
        <v>88135.090000000011</v>
      </c>
      <c r="F98" s="19">
        <v>61768.959999999999</v>
      </c>
      <c r="G98" s="19">
        <f>$B98*'CVS Payments'!E$20</f>
        <v>150633.93428422901</v>
      </c>
      <c r="H98" s="19">
        <f>$B98*'CVS Payments'!F$20</f>
        <v>150633.93428422901</v>
      </c>
      <c r="I98" s="19">
        <f>$B98*'CVS Payments'!G$20</f>
        <v>150633.93428422901</v>
      </c>
      <c r="J98" s="19">
        <f>$B98*'CVS Payments'!H$20</f>
        <v>150633.93428422901</v>
      </c>
      <c r="K98" s="19">
        <f>$B98*'CVS Payments'!I$20</f>
        <v>143108.20963934512</v>
      </c>
      <c r="L98" s="19">
        <f>$B98*'CVS Payments'!J$20</f>
        <v>135582.48468550463</v>
      </c>
      <c r="M98" s="19">
        <f>$B98*'CVS Payments'!K$20</f>
        <v>135463.04793330235</v>
      </c>
      <c r="N98" s="19">
        <f>$B98*'CVS Payments'!L$20</f>
        <v>135463.04793330235</v>
      </c>
      <c r="O98" s="39" t="s">
        <v>346</v>
      </c>
      <c r="P98" s="7">
        <f t="shared" si="8"/>
        <v>1302056.5773283704</v>
      </c>
    </row>
    <row r="99" spans="1:16" x14ac:dyDescent="0.35">
      <c r="A99" s="3" t="s">
        <v>60</v>
      </c>
      <c r="B99" s="16">
        <v>7.5616735127273667E-7</v>
      </c>
      <c r="C99" s="8" t="s">
        <v>130</v>
      </c>
      <c r="D99" s="8" t="s">
        <v>337</v>
      </c>
      <c r="E99" s="74">
        <v>0</v>
      </c>
      <c r="F99" s="19">
        <v>0</v>
      </c>
      <c r="G99" s="19">
        <v>0</v>
      </c>
      <c r="H99" s="19">
        <v>0</v>
      </c>
      <c r="I99" s="19">
        <v>0</v>
      </c>
      <c r="J99" s="19">
        <v>0</v>
      </c>
      <c r="K99" s="19">
        <v>0</v>
      </c>
      <c r="L99" s="19">
        <v>0</v>
      </c>
      <c r="M99" s="19">
        <v>0</v>
      </c>
      <c r="N99" s="19">
        <v>0</v>
      </c>
      <c r="O99" s="39" t="s">
        <v>346</v>
      </c>
      <c r="P99" s="7">
        <f t="shared" si="8"/>
        <v>0</v>
      </c>
    </row>
    <row r="100" spans="1:16" x14ac:dyDescent="0.35">
      <c r="A100" s="3" t="s">
        <v>24</v>
      </c>
      <c r="B100" s="16">
        <v>7.2026920920619308E-5</v>
      </c>
      <c r="C100" s="8" t="s">
        <v>131</v>
      </c>
      <c r="D100" s="33" t="str">
        <f t="shared" ref="D100:D152" si="9">IF(B100&lt;0.000083,"Yes","No")</f>
        <v>Yes</v>
      </c>
      <c r="E100" s="74">
        <v>4805.03</v>
      </c>
      <c r="F100" s="19">
        <v>0</v>
      </c>
      <c r="G100" s="52">
        <f>$B100*'CVS Payments'!E$20</f>
        <v>526.92280992314454</v>
      </c>
      <c r="H100" s="52">
        <f>$B100*'CVS Payments'!F$20</f>
        <v>526.92280992314454</v>
      </c>
      <c r="I100" s="52">
        <f>$B100*'CVS Payments'!G$20</f>
        <v>526.92280992314454</v>
      </c>
      <c r="J100" s="52">
        <f>$B100*'CVS Payments'!H$20</f>
        <v>526.92280992314454</v>
      </c>
      <c r="K100" s="52">
        <f>$B100*'CVS Payments'!I$20</f>
        <v>500.59755993592933</v>
      </c>
      <c r="L100" s="52">
        <f>$B100*'CVS Payments'!J$20</f>
        <v>474.27230886797309</v>
      </c>
      <c r="M100" s="52">
        <f>$B100*'CVS Payments'!K$20</f>
        <v>473.85451490024883</v>
      </c>
      <c r="N100" s="52">
        <f>$B100*'CVS Payments'!L$20</f>
        <v>473.85451490024883</v>
      </c>
      <c r="O100" s="39" t="s">
        <v>346</v>
      </c>
      <c r="P100" s="7">
        <f>E101</f>
        <v>8788.91</v>
      </c>
    </row>
    <row r="101" spans="1:16" x14ac:dyDescent="0.35">
      <c r="A101" s="3" t="s">
        <v>132</v>
      </c>
      <c r="B101" s="16">
        <v>2.150307736298917E-3</v>
      </c>
      <c r="C101" s="8" t="s">
        <v>132</v>
      </c>
      <c r="D101" s="33" t="str">
        <f t="shared" si="9"/>
        <v>No</v>
      </c>
      <c r="E101" s="74">
        <v>8788.91</v>
      </c>
      <c r="F101" s="19">
        <v>6410.3</v>
      </c>
      <c r="G101" s="19">
        <f>$B101*'CVS Payments'!E$20</f>
        <v>15730.870903933666</v>
      </c>
      <c r="H101" s="19">
        <f>$B101*'CVS Payments'!F$20</f>
        <v>15730.870903933666</v>
      </c>
      <c r="I101" s="19">
        <f>$B101*'CVS Payments'!G$20</f>
        <v>15730.870903933666</v>
      </c>
      <c r="J101" s="19">
        <f>$B101*'CVS Payments'!H$20</f>
        <v>15730.870903933666</v>
      </c>
      <c r="K101" s="19">
        <f>$B101*'CVS Payments'!I$20</f>
        <v>14944.95102864289</v>
      </c>
      <c r="L101" s="19">
        <f>$B101*'CVS Payments'!J$20</f>
        <v>14159.031121087428</v>
      </c>
      <c r="M101" s="19">
        <f>$B101*'CVS Payments'!K$20</f>
        <v>14146.558206939584</v>
      </c>
      <c r="N101" s="19">
        <f>$B101*'CVS Payments'!L$20</f>
        <v>14146.558206939584</v>
      </c>
      <c r="O101" s="39" t="s">
        <v>346</v>
      </c>
      <c r="P101" s="7">
        <f t="shared" si="8"/>
        <v>135519.79217934416</v>
      </c>
    </row>
    <row r="102" spans="1:16" x14ac:dyDescent="0.35">
      <c r="A102" s="3" t="s">
        <v>133</v>
      </c>
      <c r="B102" s="16">
        <v>7.4672268357818962E-4</v>
      </c>
      <c r="C102" s="8" t="s">
        <v>133</v>
      </c>
      <c r="D102" s="33" t="str">
        <f t="shared" si="9"/>
        <v>No</v>
      </c>
      <c r="E102" s="74">
        <v>3052.06</v>
      </c>
      <c r="F102" s="19">
        <v>2226.06</v>
      </c>
      <c r="G102" s="19">
        <f>$B102*'CVS Payments'!E$20</f>
        <v>5462.7521159485332</v>
      </c>
      <c r="H102" s="19">
        <f>$B102*'CVS Payments'!F$20</f>
        <v>5462.7521159485332</v>
      </c>
      <c r="I102" s="19">
        <f>$B102*'CVS Payments'!G$20</f>
        <v>5462.7521159485332</v>
      </c>
      <c r="J102" s="19">
        <f>$B102*'CVS Payments'!H$20</f>
        <v>5462.7521159485332</v>
      </c>
      <c r="K102" s="19">
        <f>$B102*'CVS Payments'!I$20</f>
        <v>5189.8310877404183</v>
      </c>
      <c r="L102" s="19">
        <f>$B102*'CVS Payments'!J$20</f>
        <v>4916.9100483279663</v>
      </c>
      <c r="M102" s="19">
        <f>$B102*'CVS Payments'!K$20</f>
        <v>4912.5786646067927</v>
      </c>
      <c r="N102" s="19">
        <f>$B102*'CVS Payments'!L$20</f>
        <v>4912.5786646067927</v>
      </c>
      <c r="O102" s="39" t="s">
        <v>346</v>
      </c>
      <c r="P102" s="7">
        <f t="shared" si="8"/>
        <v>47061.026929076106</v>
      </c>
    </row>
    <row r="103" spans="1:16" x14ac:dyDescent="0.35">
      <c r="A103" s="3" t="s">
        <v>63</v>
      </c>
      <c r="B103" s="16">
        <v>2.0983361149949468E-4</v>
      </c>
      <c r="C103" s="8" t="s">
        <v>134</v>
      </c>
      <c r="D103" s="33" t="str">
        <f t="shared" si="9"/>
        <v>No</v>
      </c>
      <c r="E103" s="74">
        <v>857.65</v>
      </c>
      <c r="F103" s="19">
        <v>625.54</v>
      </c>
      <c r="G103" s="19">
        <f>$B103*'CVS Payments'!E$20</f>
        <v>1535.0665386555929</v>
      </c>
      <c r="H103" s="19">
        <f>$B103*'CVS Payments'!F$20</f>
        <v>1535.0665386555929</v>
      </c>
      <c r="I103" s="19">
        <f>$B103*'CVS Payments'!G$20</f>
        <v>1535.0665386555929</v>
      </c>
      <c r="J103" s="19">
        <f>$B103*'CVS Payments'!H$20</f>
        <v>1535.0665386555929</v>
      </c>
      <c r="K103" s="19">
        <f>$B103*'CVS Payments'!I$20</f>
        <v>1458.37407134143</v>
      </c>
      <c r="L103" s="19">
        <f>$B103*'CVS Payments'!J$20</f>
        <v>1381.6816008787805</v>
      </c>
      <c r="M103" s="19">
        <f>$B103*'CVS Payments'!K$20</f>
        <v>1380.4644557337465</v>
      </c>
      <c r="N103" s="19">
        <f>$B103*'CVS Payments'!L$20</f>
        <v>1380.4644557337465</v>
      </c>
      <c r="O103" s="39" t="s">
        <v>346</v>
      </c>
      <c r="P103" s="7">
        <f t="shared" si="8"/>
        <v>13224.440738310077</v>
      </c>
    </row>
    <row r="104" spans="1:16" x14ac:dyDescent="0.35">
      <c r="A104" s="3" t="s">
        <v>24</v>
      </c>
      <c r="B104" s="16">
        <v>1.1276184998321618E-4</v>
      </c>
      <c r="C104" s="8" t="s">
        <v>135</v>
      </c>
      <c r="D104" s="33" t="str">
        <f t="shared" si="9"/>
        <v>No</v>
      </c>
      <c r="E104" s="74">
        <v>460.89</v>
      </c>
      <c r="F104" s="19">
        <v>336.16</v>
      </c>
      <c r="G104" s="19">
        <f>$B104*'CVS Payments'!E$20</f>
        <v>824.92476543279497</v>
      </c>
      <c r="H104" s="19">
        <f>$B104*'CVS Payments'!F$20</f>
        <v>824.92476543279497</v>
      </c>
      <c r="I104" s="19">
        <f>$B104*'CVS Payments'!G$20</f>
        <v>824.92476543279497</v>
      </c>
      <c r="J104" s="19">
        <f>$B104*'CVS Payments'!H$20</f>
        <v>824.92476543279497</v>
      </c>
      <c r="K104" s="19">
        <f>$B104*'CVS Payments'!I$20</f>
        <v>783.71123232757475</v>
      </c>
      <c r="L104" s="19">
        <f>$B104*'CVS Payments'!J$20</f>
        <v>742.4976975303988</v>
      </c>
      <c r="M104" s="19">
        <f>$B104*'CVS Payments'!K$20</f>
        <v>741.84361958134502</v>
      </c>
      <c r="N104" s="19">
        <f>$B104*'CVS Payments'!L$20</f>
        <v>741.84361958134502</v>
      </c>
      <c r="O104" s="39" t="s">
        <v>346</v>
      </c>
      <c r="P104" s="7">
        <f t="shared" si="8"/>
        <v>7106.645230751843</v>
      </c>
    </row>
    <row r="105" spans="1:16" x14ac:dyDescent="0.35">
      <c r="A105" s="3" t="s">
        <v>24</v>
      </c>
      <c r="B105" s="16">
        <v>3.4772891380126724E-4</v>
      </c>
      <c r="C105" s="8" t="s">
        <v>136</v>
      </c>
      <c r="D105" s="33" t="str">
        <f t="shared" si="9"/>
        <v>No</v>
      </c>
      <c r="E105" s="74">
        <v>1421.27</v>
      </c>
      <c r="F105" s="19">
        <v>1036.6199999999999</v>
      </c>
      <c r="G105" s="19">
        <f>$B105*'CVS Payments'!E$20</f>
        <v>2543.8585185894576</v>
      </c>
      <c r="H105" s="19">
        <f>$B105*'CVS Payments'!F$20</f>
        <v>2543.8585185894576</v>
      </c>
      <c r="I105" s="19">
        <f>$B105*'CVS Payments'!G$20</f>
        <v>2543.8585185894576</v>
      </c>
      <c r="J105" s="19">
        <f>$B105*'CVS Payments'!H$20</f>
        <v>2543.8585185894576</v>
      </c>
      <c r="K105" s="19">
        <f>$B105*'CVS Payments'!I$20</f>
        <v>2416.7664470889999</v>
      </c>
      <c r="L105" s="19">
        <f>$B105*'CVS Payments'!J$20</f>
        <v>2289.6743703709803</v>
      </c>
      <c r="M105" s="19">
        <f>$B105*'CVS Payments'!K$20</f>
        <v>2287.6573600541074</v>
      </c>
      <c r="N105" s="19">
        <f>$B105*'CVS Payments'!L$20</f>
        <v>2287.6573600541074</v>
      </c>
      <c r="O105" s="39" t="s">
        <v>346</v>
      </c>
      <c r="P105" s="7">
        <f t="shared" si="8"/>
        <v>21915.079611926027</v>
      </c>
    </row>
    <row r="106" spans="1:16" x14ac:dyDescent="0.35">
      <c r="A106" s="3" t="s">
        <v>14</v>
      </c>
      <c r="B106" s="16">
        <v>3.7568288969454963E-5</v>
      </c>
      <c r="C106" s="8" t="s">
        <v>137</v>
      </c>
      <c r="D106" s="33" t="str">
        <f t="shared" si="9"/>
        <v>Yes</v>
      </c>
      <c r="E106" s="74">
        <v>2506.2399999999998</v>
      </c>
      <c r="F106" s="19">
        <v>0</v>
      </c>
      <c r="G106" s="52">
        <f>$B106*'CVS Payments'!E$20</f>
        <v>274.83596598008893</v>
      </c>
      <c r="H106" s="52">
        <f>$B106*'CVS Payments'!F$20</f>
        <v>274.83596598008893</v>
      </c>
      <c r="I106" s="52">
        <f>$B106*'CVS Payments'!G$20</f>
        <v>274.83596598008893</v>
      </c>
      <c r="J106" s="52">
        <f>$B106*'CVS Payments'!H$20</f>
        <v>274.83596598008893</v>
      </c>
      <c r="K106" s="52">
        <f>$B106*'CVS Payments'!I$20</f>
        <v>261.10506389414792</v>
      </c>
      <c r="L106" s="52">
        <f>$B106*'CVS Payments'!J$20</f>
        <v>247.37416124450664</v>
      </c>
      <c r="M106" s="52">
        <f>$B106*'CVS Payments'!K$20</f>
        <v>247.15624543874205</v>
      </c>
      <c r="N106" s="52">
        <f>$B106*'CVS Payments'!L$20</f>
        <v>247.15624543874205</v>
      </c>
      <c r="O106" s="39" t="s">
        <v>346</v>
      </c>
      <c r="P106" s="7">
        <f>E107</f>
        <v>54934.3</v>
      </c>
    </row>
    <row r="107" spans="1:16" x14ac:dyDescent="0.35">
      <c r="A107" s="3" t="s">
        <v>14</v>
      </c>
      <c r="B107" s="16">
        <v>1.3440310107840001E-2</v>
      </c>
      <c r="C107" s="8" t="s">
        <v>138</v>
      </c>
      <c r="D107" s="33" t="str">
        <f t="shared" si="9"/>
        <v>No</v>
      </c>
      <c r="E107" s="74">
        <v>54934.3</v>
      </c>
      <c r="F107" s="19">
        <v>40067</v>
      </c>
      <c r="G107" s="19">
        <f>$B107*'CVS Payments'!E$20</f>
        <v>98324.430334410048</v>
      </c>
      <c r="H107" s="19">
        <f>$B107*'CVS Payments'!F$20</f>
        <v>98324.430334410048</v>
      </c>
      <c r="I107" s="19">
        <f>$B107*'CVS Payments'!G$20</f>
        <v>98324.430334410048</v>
      </c>
      <c r="J107" s="19">
        <f>$B107*'CVS Payments'!H$20</f>
        <v>98324.430334410048</v>
      </c>
      <c r="K107" s="19">
        <f>$B107*'CVS Payments'!I$20</f>
        <v>93412.107011793967</v>
      </c>
      <c r="L107" s="19">
        <f>$B107*'CVS Payments'!J$20</f>
        <v>88499.783487510285</v>
      </c>
      <c r="M107" s="19">
        <f>$B107*'CVS Payments'!K$20</f>
        <v>88421.822630435927</v>
      </c>
      <c r="N107" s="19">
        <f>$B107*'CVS Payments'!L$20</f>
        <v>88421.822630435927</v>
      </c>
      <c r="O107" s="39" t="s">
        <v>346</v>
      </c>
      <c r="P107" s="7">
        <f t="shared" si="8"/>
        <v>847054.55709781626</v>
      </c>
    </row>
    <row r="108" spans="1:16" x14ac:dyDescent="0.35">
      <c r="A108" s="3" t="s">
        <v>99</v>
      </c>
      <c r="B108" s="16">
        <v>9.2338019804800008E-3</v>
      </c>
      <c r="C108" s="8" t="s">
        <v>99</v>
      </c>
      <c r="D108" s="33" t="str">
        <f t="shared" si="9"/>
        <v>No</v>
      </c>
      <c r="E108" s="74">
        <v>38012.410000000003</v>
      </c>
      <c r="F108" s="19">
        <v>27526.95</v>
      </c>
      <c r="G108" s="19">
        <f>$B108*'CVS Payments'!E$20</f>
        <v>67551.143706263319</v>
      </c>
      <c r="H108" s="19">
        <f>$B108*'CVS Payments'!F$20</f>
        <v>67551.143706263319</v>
      </c>
      <c r="I108" s="19">
        <f>$B108*'CVS Payments'!G$20</f>
        <v>67551.143706263319</v>
      </c>
      <c r="J108" s="19">
        <f>$B108*'CVS Payments'!H$20</f>
        <v>67551.143706263319</v>
      </c>
      <c r="K108" s="19">
        <f>$B108*'CVS Payments'!I$20</f>
        <v>64176.26466990303</v>
      </c>
      <c r="L108" s="19">
        <f>$B108*'CVS Payments'!J$20</f>
        <v>60801.385494992472</v>
      </c>
      <c r="M108" s="19">
        <f>$B108*'CVS Payments'!K$20</f>
        <v>60747.824594189056</v>
      </c>
      <c r="N108" s="19">
        <f>$B108*'CVS Payments'!L$20</f>
        <v>60747.824594189056</v>
      </c>
      <c r="O108" s="39" t="s">
        <v>346</v>
      </c>
      <c r="P108" s="7">
        <f t="shared" si="8"/>
        <v>582217.23417832691</v>
      </c>
    </row>
    <row r="109" spans="1:16" x14ac:dyDescent="0.35">
      <c r="A109" s="3" t="s">
        <v>14</v>
      </c>
      <c r="B109" s="16">
        <v>2.7801574282541815E-4</v>
      </c>
      <c r="C109" s="8" t="s">
        <v>139</v>
      </c>
      <c r="D109" s="33" t="str">
        <f t="shared" si="9"/>
        <v>No</v>
      </c>
      <c r="E109" s="74">
        <v>1136.33</v>
      </c>
      <c r="F109" s="19">
        <v>828.79</v>
      </c>
      <c r="G109" s="19">
        <f>$B109*'CVS Payments'!E$20</f>
        <v>2033.8622634429844</v>
      </c>
      <c r="H109" s="19">
        <f>$B109*'CVS Payments'!F$20</f>
        <v>2033.8622634429844</v>
      </c>
      <c r="I109" s="19">
        <f>$B109*'CVS Payments'!G$20</f>
        <v>2033.8622634429844</v>
      </c>
      <c r="J109" s="19">
        <f>$B109*'CVS Payments'!H$20</f>
        <v>2033.8622634429844</v>
      </c>
      <c r="K109" s="19">
        <f>$B109*'CVS Payments'!I$20</f>
        <v>1932.2497852651859</v>
      </c>
      <c r="L109" s="19">
        <f>$B109*'CVS Payments'!J$20</f>
        <v>1830.6373029158492</v>
      </c>
      <c r="M109" s="19">
        <f>$B109*'CVS Payments'!K$20</f>
        <v>1829.0246656019087</v>
      </c>
      <c r="N109" s="19">
        <f>$B109*'CVS Payments'!L$20</f>
        <v>1829.0246656019087</v>
      </c>
      <c r="O109" s="39" t="s">
        <v>346</v>
      </c>
      <c r="P109" s="7">
        <f t="shared" si="8"/>
        <v>17521.505473156791</v>
      </c>
    </row>
    <row r="110" spans="1:16" x14ac:dyDescent="0.35">
      <c r="A110" s="3" t="s">
        <v>140</v>
      </c>
      <c r="B110" s="16">
        <v>3.5251722027200001E-3</v>
      </c>
      <c r="C110" s="8" t="s">
        <v>140</v>
      </c>
      <c r="D110" s="33" t="str">
        <f t="shared" si="9"/>
        <v>No</v>
      </c>
      <c r="E110" s="74">
        <v>14408.36</v>
      </c>
      <c r="F110" s="19">
        <v>10508.92</v>
      </c>
      <c r="G110" s="19">
        <f>$B110*'CVS Payments'!E$20</f>
        <v>25788.88030723016</v>
      </c>
      <c r="H110" s="19">
        <f>$B110*'CVS Payments'!F$20</f>
        <v>25788.88030723016</v>
      </c>
      <c r="I110" s="19">
        <f>$B110*'CVS Payments'!G$20</f>
        <v>25788.88030723016</v>
      </c>
      <c r="J110" s="19">
        <f>$B110*'CVS Payments'!H$20</f>
        <v>25788.88030723016</v>
      </c>
      <c r="K110" s="19">
        <f>$B110*'CVS Payments'!I$20</f>
        <v>24500.458724043761</v>
      </c>
      <c r="L110" s="19">
        <f>$B110*'CVS Payments'!J$20</f>
        <v>23212.037087963268</v>
      </c>
      <c r="M110" s="19">
        <f>$B110*'CVS Payments'!K$20</f>
        <v>23191.589237872486</v>
      </c>
      <c r="N110" s="19">
        <f>$B110*'CVS Payments'!L$20</f>
        <v>23191.589237872486</v>
      </c>
      <c r="O110" s="39" t="s">
        <v>346</v>
      </c>
      <c r="P110" s="7">
        <f t="shared" si="8"/>
        <v>222168.47551667265</v>
      </c>
    </row>
    <row r="111" spans="1:16" x14ac:dyDescent="0.35">
      <c r="A111" s="3" t="s">
        <v>60</v>
      </c>
      <c r="B111" s="16">
        <v>3.2169530493678236E-4</v>
      </c>
      <c r="C111" s="8" t="s">
        <v>141</v>
      </c>
      <c r="D111" s="33" t="str">
        <f t="shared" si="9"/>
        <v>No</v>
      </c>
      <c r="E111" s="74">
        <v>1314.86</v>
      </c>
      <c r="F111" s="19">
        <v>959.01</v>
      </c>
      <c r="G111" s="19">
        <f>$B111*'CVS Payments'!E$20</f>
        <v>2353.4060855272041</v>
      </c>
      <c r="H111" s="19">
        <f>$B111*'CVS Payments'!F$20</f>
        <v>2353.4060855272041</v>
      </c>
      <c r="I111" s="19">
        <f>$B111*'CVS Payments'!G$20</f>
        <v>2353.4060855272041</v>
      </c>
      <c r="J111" s="19">
        <f>$B111*'CVS Payments'!H$20</f>
        <v>2353.4060855272041</v>
      </c>
      <c r="K111" s="19">
        <f>$B111*'CVS Payments'!I$20</f>
        <v>2235.8290849567156</v>
      </c>
      <c r="L111" s="19">
        <f>$B111*'CVS Payments'!J$20</f>
        <v>2118.2520795592905</v>
      </c>
      <c r="M111" s="19">
        <f>$B111*'CVS Payments'!K$20</f>
        <v>2116.3860778459048</v>
      </c>
      <c r="N111" s="19">
        <f>$B111*'CVS Payments'!L$20</f>
        <v>2116.3860778459048</v>
      </c>
      <c r="O111" s="39" t="s">
        <v>346</v>
      </c>
      <c r="P111" s="7">
        <f t="shared" si="8"/>
        <v>20274.347662316632</v>
      </c>
    </row>
    <row r="112" spans="1:16" x14ac:dyDescent="0.35">
      <c r="A112" s="3" t="s">
        <v>22</v>
      </c>
      <c r="B112" s="16">
        <v>2.1422289115943018E-4</v>
      </c>
      <c r="C112" s="8" t="s">
        <v>142</v>
      </c>
      <c r="D112" s="33" t="str">
        <f t="shared" si="9"/>
        <v>No</v>
      </c>
      <c r="E112" s="74">
        <v>875.59</v>
      </c>
      <c r="F112" s="19">
        <v>638.62</v>
      </c>
      <c r="G112" s="19">
        <f>$B112*'CVS Payments'!E$20</f>
        <v>1567.1769154756803</v>
      </c>
      <c r="H112" s="19">
        <f>$B112*'CVS Payments'!F$20</f>
        <v>1567.1769154756803</v>
      </c>
      <c r="I112" s="19">
        <f>$B112*'CVS Payments'!G$20</f>
        <v>1567.1769154756803</v>
      </c>
      <c r="J112" s="19">
        <f>$B112*'CVS Payments'!H$20</f>
        <v>1567.1769154756803</v>
      </c>
      <c r="K112" s="19">
        <f>$B112*'CVS Payments'!I$20</f>
        <v>1488.8802023762651</v>
      </c>
      <c r="L112" s="19">
        <f>$B112*'CVS Payments'!J$20</f>
        <v>1410.5834860625037</v>
      </c>
      <c r="M112" s="19">
        <f>$B112*'CVS Payments'!K$20</f>
        <v>1409.3408807903236</v>
      </c>
      <c r="N112" s="19">
        <f>$B112*'CVS Payments'!L$20</f>
        <v>1409.3408807903236</v>
      </c>
      <c r="O112" s="39" t="s">
        <v>346</v>
      </c>
      <c r="P112" s="7">
        <f t="shared" si="8"/>
        <v>13501.063111922136</v>
      </c>
    </row>
    <row r="113" spans="1:16" x14ac:dyDescent="0.35">
      <c r="A113" s="3" t="s">
        <v>22</v>
      </c>
      <c r="B113" s="16">
        <v>2.8311153863745328E-4</v>
      </c>
      <c r="C113" s="8" t="s">
        <v>143</v>
      </c>
      <c r="D113" s="33" t="str">
        <f t="shared" si="9"/>
        <v>No</v>
      </c>
      <c r="E113" s="74">
        <v>1157.1600000000001</v>
      </c>
      <c r="F113" s="19">
        <v>843.99</v>
      </c>
      <c r="G113" s="19">
        <f>$B113*'CVS Payments'!E$20</f>
        <v>2071.1412559884438</v>
      </c>
      <c r="H113" s="19">
        <f>$B113*'CVS Payments'!F$20</f>
        <v>2071.1412559884438</v>
      </c>
      <c r="I113" s="19">
        <f>$B113*'CVS Payments'!G$20</f>
        <v>2071.1412559884438</v>
      </c>
      <c r="J113" s="19">
        <f>$B113*'CVS Payments'!H$20</f>
        <v>2071.1412559884438</v>
      </c>
      <c r="K113" s="19">
        <f>$B113*'CVS Payments'!I$20</f>
        <v>1967.6663061553111</v>
      </c>
      <c r="L113" s="19">
        <f>$B113*'CVS Payments'!J$20</f>
        <v>1864.1913520741798</v>
      </c>
      <c r="M113" s="19">
        <f>$B113*'CVS Payments'!K$20</f>
        <v>1862.54915646837</v>
      </c>
      <c r="N113" s="19">
        <f>$B113*'CVS Payments'!L$20</f>
        <v>1862.54915646837</v>
      </c>
      <c r="O113" s="39" t="s">
        <v>346</v>
      </c>
      <c r="P113" s="7">
        <f t="shared" si="8"/>
        <v>17842.67099512001</v>
      </c>
    </row>
    <row r="114" spans="1:16" x14ac:dyDescent="0.35">
      <c r="A114" s="3" t="s">
        <v>22</v>
      </c>
      <c r="B114" s="16">
        <v>2.0174925054156607E-4</v>
      </c>
      <c r="C114" s="8" t="s">
        <v>144</v>
      </c>
      <c r="D114" s="33" t="str">
        <f t="shared" si="9"/>
        <v>No</v>
      </c>
      <c r="E114" s="74">
        <v>824.61</v>
      </c>
      <c r="F114" s="19">
        <v>601.44000000000005</v>
      </c>
      <c r="G114" s="19">
        <f>$B114*'CVS Payments'!E$20</f>
        <v>1475.9242882589745</v>
      </c>
      <c r="H114" s="19">
        <f>$B114*'CVS Payments'!F$20</f>
        <v>1475.9242882589745</v>
      </c>
      <c r="I114" s="19">
        <f>$B114*'CVS Payments'!G$20</f>
        <v>1475.9242882589745</v>
      </c>
      <c r="J114" s="19">
        <f>$B114*'CVS Payments'!H$20</f>
        <v>1475.9242882589745</v>
      </c>
      <c r="K114" s="19">
        <f>$B114*'CVS Payments'!I$20</f>
        <v>1402.1865886967039</v>
      </c>
      <c r="L114" s="19">
        <f>$B114*'CVS Payments'!J$20</f>
        <v>1328.44888610725</v>
      </c>
      <c r="M114" s="19">
        <f>$B114*'CVS Payments'!K$20</f>
        <v>1327.2786345014367</v>
      </c>
      <c r="N114" s="19">
        <f>$B114*'CVS Payments'!L$20</f>
        <v>1327.2786345014367</v>
      </c>
      <c r="O114" s="39" t="s">
        <v>346</v>
      </c>
      <c r="P114" s="7">
        <f t="shared" si="8"/>
        <v>12714.939896842725</v>
      </c>
    </row>
    <row r="115" spans="1:16" x14ac:dyDescent="0.35">
      <c r="A115" s="3" t="s">
        <v>60</v>
      </c>
      <c r="B115" s="16">
        <v>3.393032077207899E-4</v>
      </c>
      <c r="C115" s="8" t="s">
        <v>145</v>
      </c>
      <c r="D115" s="33" t="str">
        <f t="shared" si="9"/>
        <v>No</v>
      </c>
      <c r="E115" s="74">
        <v>1386.83</v>
      </c>
      <c r="F115" s="19">
        <v>1011.5</v>
      </c>
      <c r="G115" s="19">
        <f>$B115*'CVS Payments'!E$20</f>
        <v>2482.2191111739353</v>
      </c>
      <c r="H115" s="19">
        <f>$B115*'CVS Payments'!F$20</f>
        <v>2482.2191111739353</v>
      </c>
      <c r="I115" s="19">
        <f>$B115*'CVS Payments'!G$20</f>
        <v>2482.2191111739353</v>
      </c>
      <c r="J115" s="19">
        <f>$B115*'CVS Payments'!H$20</f>
        <v>2482.2191111739353</v>
      </c>
      <c r="K115" s="19">
        <f>$B115*'CVS Payments'!I$20</f>
        <v>2358.2065662734253</v>
      </c>
      <c r="L115" s="19">
        <f>$B115*'CVS Payments'!J$20</f>
        <v>2234.1940162817782</v>
      </c>
      <c r="M115" s="19">
        <f>$B115*'CVS Payments'!K$20</f>
        <v>2232.2258794851009</v>
      </c>
      <c r="N115" s="19">
        <f>$B115*'CVS Payments'!L$20</f>
        <v>2232.2258794851009</v>
      </c>
      <c r="O115" s="39" t="s">
        <v>346</v>
      </c>
      <c r="P115" s="7">
        <f t="shared" si="8"/>
        <v>21384.058786221147</v>
      </c>
    </row>
    <row r="116" spans="1:16" x14ac:dyDescent="0.35">
      <c r="A116" s="3" t="s">
        <v>22</v>
      </c>
      <c r="B116" s="16">
        <v>1.0823453984616879E-3</v>
      </c>
      <c r="C116" s="8" t="s">
        <v>146</v>
      </c>
      <c r="D116" s="33" t="str">
        <f t="shared" si="9"/>
        <v>No</v>
      </c>
      <c r="E116" s="74">
        <v>4423.8500000000004</v>
      </c>
      <c r="F116" s="19">
        <v>3226.59</v>
      </c>
      <c r="G116" s="19">
        <f>$B116*'CVS Payments'!E$20</f>
        <v>7918.0460774292724</v>
      </c>
      <c r="H116" s="19">
        <f>$B116*'CVS Payments'!F$20</f>
        <v>7918.0460774292724</v>
      </c>
      <c r="I116" s="19">
        <f>$B116*'CVS Payments'!G$20</f>
        <v>7918.0460774292724</v>
      </c>
      <c r="J116" s="19">
        <f>$B116*'CVS Payments'!H$20</f>
        <v>7918.0460774292724</v>
      </c>
      <c r="K116" s="19">
        <f>$B116*'CVS Payments'!I$20</f>
        <v>7522.457694324321</v>
      </c>
      <c r="L116" s="19">
        <f>$B116*'CVS Payments'!J$20</f>
        <v>7126.8692949791212</v>
      </c>
      <c r="M116" s="19">
        <f>$B116*'CVS Payments'!K$20</f>
        <v>7120.5911232526114</v>
      </c>
      <c r="N116" s="19">
        <f>$B116*'CVS Payments'!L$20</f>
        <v>7120.5911232526114</v>
      </c>
      <c r="O116" s="39" t="s">
        <v>346</v>
      </c>
      <c r="P116" s="7">
        <f t="shared" si="8"/>
        <v>68213.13354552575</v>
      </c>
    </row>
    <row r="117" spans="1:16" x14ac:dyDescent="0.35">
      <c r="A117" s="3" t="s">
        <v>22</v>
      </c>
      <c r="B117" s="16">
        <v>3.0210647514547408E-4</v>
      </c>
      <c r="C117" s="8" t="s">
        <v>147</v>
      </c>
      <c r="D117" s="33" t="str">
        <f t="shared" si="9"/>
        <v>No</v>
      </c>
      <c r="E117" s="74">
        <v>1234.79</v>
      </c>
      <c r="F117" s="19">
        <v>900.61</v>
      </c>
      <c r="G117" s="19">
        <f>$B117*'CVS Payments'!E$20</f>
        <v>2210.1013169099538</v>
      </c>
      <c r="H117" s="19">
        <f>$B117*'CVS Payments'!F$20</f>
        <v>2210.1013169099538</v>
      </c>
      <c r="I117" s="19">
        <f>$B117*'CVS Payments'!G$20</f>
        <v>2210.1013169099538</v>
      </c>
      <c r="J117" s="19">
        <f>$B117*'CVS Payments'!H$20</f>
        <v>2210.1013169099538</v>
      </c>
      <c r="K117" s="19">
        <f>$B117*'CVS Payments'!I$20</f>
        <v>2099.6838732748715</v>
      </c>
      <c r="L117" s="19">
        <f>$B117*'CVS Payments'!J$20</f>
        <v>1989.2664251067772</v>
      </c>
      <c r="M117" s="19">
        <f>$B117*'CVS Payments'!K$20</f>
        <v>1987.5140488936484</v>
      </c>
      <c r="N117" s="19">
        <f>$B117*'CVS Payments'!L$20</f>
        <v>1987.5140488936484</v>
      </c>
      <c r="O117" s="39" t="s">
        <v>346</v>
      </c>
      <c r="P117" s="7">
        <f t="shared" si="8"/>
        <v>19039.783663808761</v>
      </c>
    </row>
    <row r="118" spans="1:16" x14ac:dyDescent="0.35">
      <c r="A118" s="3" t="s">
        <v>75</v>
      </c>
      <c r="B118" s="16">
        <v>1.2420493545600001E-3</v>
      </c>
      <c r="C118" s="8" t="s">
        <v>148</v>
      </c>
      <c r="D118" s="33" t="str">
        <f t="shared" si="9"/>
        <v>No</v>
      </c>
      <c r="E118" s="74">
        <v>5076.6000000000004</v>
      </c>
      <c r="F118" s="19">
        <v>3702.68</v>
      </c>
      <c r="G118" s="19">
        <f>$B118*'CVS Payments'!E$20</f>
        <v>9086.3822526755885</v>
      </c>
      <c r="H118" s="19">
        <f>$B118*'CVS Payments'!F$20</f>
        <v>9086.3822526755885</v>
      </c>
      <c r="I118" s="19">
        <f>$B118*'CVS Payments'!G$20</f>
        <v>9086.3822526755885</v>
      </c>
      <c r="J118" s="19">
        <f>$B118*'CVS Payments'!H$20</f>
        <v>9086.3822526755885</v>
      </c>
      <c r="K118" s="19">
        <f>$B118*'CVS Payments'!I$20</f>
        <v>8632.4233809464076</v>
      </c>
      <c r="L118" s="19">
        <f>$B118*'CVS Payments'!J$20</f>
        <v>8178.4644905806699</v>
      </c>
      <c r="M118" s="19">
        <f>$B118*'CVS Payments'!K$20</f>
        <v>8171.2599520370486</v>
      </c>
      <c r="N118" s="19">
        <f>$B118*'CVS Payments'!L$20</f>
        <v>8171.2599520370486</v>
      </c>
      <c r="O118" s="39" t="s">
        <v>346</v>
      </c>
      <c r="P118" s="7">
        <f t="shared" si="8"/>
        <v>78278.216786303528</v>
      </c>
    </row>
    <row r="119" spans="1:16" x14ac:dyDescent="0.35">
      <c r="A119" s="3" t="s">
        <v>60</v>
      </c>
      <c r="B119" s="16">
        <v>2.9166464367653667E-6</v>
      </c>
      <c r="C119" s="8" t="s">
        <v>149</v>
      </c>
      <c r="D119" s="33" t="str">
        <f t="shared" si="9"/>
        <v>Yes</v>
      </c>
      <c r="E119" s="74">
        <v>194.57</v>
      </c>
      <c r="F119" s="19">
        <v>0</v>
      </c>
      <c r="G119" s="52">
        <f>$B119*'CVS Payments'!E$20</f>
        <v>21.337126679432679</v>
      </c>
      <c r="H119" s="52">
        <f>$B119*'CVS Payments'!F$20</f>
        <v>21.337126679432679</v>
      </c>
      <c r="I119" s="52">
        <f>$B119*'CVS Payments'!G$20</f>
        <v>21.337126679432679</v>
      </c>
      <c r="J119" s="52">
        <f>$B119*'CVS Payments'!H$20</f>
        <v>21.337126679432679</v>
      </c>
      <c r="K119" s="52">
        <f>$B119*'CVS Payments'!I$20</f>
        <v>20.271116282336997</v>
      </c>
      <c r="L119" s="52">
        <f>$B119*'CVS Payments'!J$20</f>
        <v>19.205105841477963</v>
      </c>
      <c r="M119" s="52">
        <f>$B119*'CVS Payments'!K$20</f>
        <v>19.188187760409246</v>
      </c>
      <c r="N119" s="52">
        <f>$B119*'CVS Payments'!L$20</f>
        <v>19.188187760409246</v>
      </c>
      <c r="O119" s="39" t="s">
        <v>346</v>
      </c>
      <c r="P119" s="7">
        <f>E120</f>
        <v>1798.39</v>
      </c>
    </row>
    <row r="120" spans="1:16" x14ac:dyDescent="0.35">
      <c r="A120" s="3" t="s">
        <v>34</v>
      </c>
      <c r="B120" s="16">
        <v>4.3999575718258014E-4</v>
      </c>
      <c r="C120" s="8" t="s">
        <v>150</v>
      </c>
      <c r="D120" s="33" t="str">
        <f t="shared" si="9"/>
        <v>No</v>
      </c>
      <c r="E120" s="74">
        <v>1798.39</v>
      </c>
      <c r="F120" s="19">
        <v>1311.67</v>
      </c>
      <c r="G120" s="19">
        <f>$B120*'CVS Payments'!E$20</f>
        <v>3218.8492547726869</v>
      </c>
      <c r="H120" s="19">
        <f>$B120*'CVS Payments'!F$20</f>
        <v>3218.8492547726869</v>
      </c>
      <c r="I120" s="19">
        <f>$B120*'CVS Payments'!G$20</f>
        <v>3218.8492547726869</v>
      </c>
      <c r="J120" s="19">
        <f>$B120*'CVS Payments'!H$20</f>
        <v>3218.8492547726869</v>
      </c>
      <c r="K120" s="19">
        <f>$B120*'CVS Payments'!I$20</f>
        <v>3058.034407308764</v>
      </c>
      <c r="L120" s="19">
        <f>$B120*'CVS Payments'!J$20</f>
        <v>2897.2195532428441</v>
      </c>
      <c r="M120" s="19">
        <f>$B120*'CVS Payments'!K$20</f>
        <v>2894.6673467785731</v>
      </c>
      <c r="N120" s="19">
        <f>$B120*'CVS Payments'!L$20</f>
        <v>2894.6673467785731</v>
      </c>
      <c r="O120" s="39" t="s">
        <v>346</v>
      </c>
      <c r="P120" s="7">
        <f t="shared" si="8"/>
        <v>27730.045673199504</v>
      </c>
    </row>
    <row r="121" spans="1:16" x14ac:dyDescent="0.35">
      <c r="A121" s="3" t="s">
        <v>34</v>
      </c>
      <c r="B121" s="16">
        <v>1.7590962745185068E-4</v>
      </c>
      <c r="C121" s="8" t="s">
        <v>151</v>
      </c>
      <c r="D121" s="33" t="str">
        <f t="shared" si="9"/>
        <v>No</v>
      </c>
      <c r="E121" s="74">
        <v>718.99</v>
      </c>
      <c r="F121" s="19">
        <v>524.41</v>
      </c>
      <c r="G121" s="19">
        <f>$B121*'CVS Payments'!E$20</f>
        <v>1286.8909847141317</v>
      </c>
      <c r="H121" s="19">
        <f>$B121*'CVS Payments'!F$20</f>
        <v>1286.8909847141317</v>
      </c>
      <c r="I121" s="19">
        <f>$B121*'CVS Payments'!G$20</f>
        <v>1286.8909847141317</v>
      </c>
      <c r="J121" s="19">
        <f>$B121*'CVS Payments'!H$20</f>
        <v>1286.8909847141317</v>
      </c>
      <c r="K121" s="19">
        <f>$B121*'CVS Payments'!I$20</f>
        <v>1222.5974558691112</v>
      </c>
      <c r="L121" s="19">
        <f>$B121*'CVS Payments'!J$20</f>
        <v>1158.3039243846224</v>
      </c>
      <c r="M121" s="19">
        <f>$B121*'CVS Payments'!K$20</f>
        <v>1157.2835561629265</v>
      </c>
      <c r="N121" s="19">
        <f>$B121*'CVS Payments'!L$20</f>
        <v>1157.2835561629265</v>
      </c>
      <c r="O121" s="39" t="s">
        <v>346</v>
      </c>
      <c r="P121" s="7">
        <f t="shared" si="8"/>
        <v>11086.432431436115</v>
      </c>
    </row>
    <row r="122" spans="1:16" x14ac:dyDescent="0.35">
      <c r="A122" s="3" t="s">
        <v>22</v>
      </c>
      <c r="B122" s="16">
        <v>2.339422737512214E-4</v>
      </c>
      <c r="C122" s="8" t="s">
        <v>152</v>
      </c>
      <c r="D122" s="33" t="str">
        <f t="shared" si="9"/>
        <v>No</v>
      </c>
      <c r="E122" s="74">
        <v>956.19</v>
      </c>
      <c r="F122" s="19">
        <v>697.41</v>
      </c>
      <c r="G122" s="19">
        <f>$B122*'CVS Payments'!E$20</f>
        <v>1711.436760994658</v>
      </c>
      <c r="H122" s="19">
        <f>$B122*'CVS Payments'!F$20</f>
        <v>1711.436760994658</v>
      </c>
      <c r="I122" s="19">
        <f>$B122*'CVS Payments'!G$20</f>
        <v>1711.436760994658</v>
      </c>
      <c r="J122" s="19">
        <f>$B122*'CVS Payments'!H$20</f>
        <v>1711.436760994658</v>
      </c>
      <c r="K122" s="19">
        <f>$B122*'CVS Payments'!I$20</f>
        <v>1625.9327749799595</v>
      </c>
      <c r="L122" s="19">
        <f>$B122*'CVS Payments'!J$20</f>
        <v>1540.4287854550314</v>
      </c>
      <c r="M122" s="19">
        <f>$B122*'CVS Payments'!K$20</f>
        <v>1539.0717974077888</v>
      </c>
      <c r="N122" s="19">
        <f>$B122*'CVS Payments'!L$20</f>
        <v>1539.0717974077888</v>
      </c>
      <c r="O122" s="39" t="s">
        <v>346</v>
      </c>
      <c r="P122" s="7">
        <f t="shared" si="8"/>
        <v>14743.852199229201</v>
      </c>
    </row>
    <row r="123" spans="1:16" x14ac:dyDescent="0.35">
      <c r="A123" s="3" t="s">
        <v>153</v>
      </c>
      <c r="B123" s="16">
        <v>4.1796783504000007E-3</v>
      </c>
      <c r="C123" s="8" t="s">
        <v>153</v>
      </c>
      <c r="D123" s="33" t="str">
        <f t="shared" si="9"/>
        <v>No</v>
      </c>
      <c r="E123" s="74">
        <v>17083.509999999998</v>
      </c>
      <c r="F123" s="19">
        <v>12460.07</v>
      </c>
      <c r="G123" s="19">
        <f>$B123*'CVS Payments'!E$20</f>
        <v>30577.009718281948</v>
      </c>
      <c r="H123" s="19">
        <f>$B123*'CVS Payments'!F$20</f>
        <v>30577.009718281948</v>
      </c>
      <c r="I123" s="19">
        <f>$B123*'CVS Payments'!G$20</f>
        <v>30577.009718281948</v>
      </c>
      <c r="J123" s="19">
        <f>$B123*'CVS Payments'!H$20</f>
        <v>30577.009718281948</v>
      </c>
      <c r="K123" s="19">
        <f>$B123*'CVS Payments'!I$20</f>
        <v>29049.371495877629</v>
      </c>
      <c r="L123" s="19">
        <f>$B123*'CVS Payments'!J$20</f>
        <v>27521.733210758564</v>
      </c>
      <c r="M123" s="19">
        <f>$B123*'CVS Payments'!K$20</f>
        <v>27497.488881284185</v>
      </c>
      <c r="N123" s="19">
        <f>$B123*'CVS Payments'!L$20</f>
        <v>27497.488881284185</v>
      </c>
      <c r="O123" s="39" t="s">
        <v>346</v>
      </c>
      <c r="P123" s="7">
        <f t="shared" si="8"/>
        <v>263417.70134233235</v>
      </c>
    </row>
    <row r="124" spans="1:16" x14ac:dyDescent="0.35">
      <c r="A124" s="3" t="s">
        <v>24</v>
      </c>
      <c r="B124" s="16">
        <v>1.7432722105140133E-4</v>
      </c>
      <c r="C124" s="8" t="s">
        <v>154</v>
      </c>
      <c r="D124" s="33" t="str">
        <f t="shared" si="9"/>
        <v>No</v>
      </c>
      <c r="E124" s="74">
        <v>712.52</v>
      </c>
      <c r="F124" s="19">
        <v>519.69000000000005</v>
      </c>
      <c r="G124" s="19">
        <f>$B124*'CVS Payments'!E$20</f>
        <v>1275.3146738527516</v>
      </c>
      <c r="H124" s="19">
        <f>$B124*'CVS Payments'!F$20</f>
        <v>1275.3146738527516</v>
      </c>
      <c r="I124" s="19">
        <f>$B124*'CVS Payments'!G$20</f>
        <v>1275.3146738527516</v>
      </c>
      <c r="J124" s="19">
        <f>$B124*'CVS Payments'!H$20</f>
        <v>1275.3146738527516</v>
      </c>
      <c r="K124" s="19">
        <f>$B124*'CVS Payments'!I$20</f>
        <v>1211.5995015935846</v>
      </c>
      <c r="L124" s="19">
        <f>$B124*'CVS Payments'!J$20</f>
        <v>1147.8843267186928</v>
      </c>
      <c r="M124" s="19">
        <f>$B124*'CVS Payments'!K$20</f>
        <v>1146.8731372851521</v>
      </c>
      <c r="N124" s="19">
        <f>$B124*'CVS Payments'!L$20</f>
        <v>1146.8731372851521</v>
      </c>
      <c r="O124" s="39" t="s">
        <v>346</v>
      </c>
      <c r="P124" s="7">
        <f t="shared" si="8"/>
        <v>10986.69879829359</v>
      </c>
    </row>
    <row r="125" spans="1:16" x14ac:dyDescent="0.35">
      <c r="A125" s="3" t="s">
        <v>155</v>
      </c>
      <c r="B125" s="16">
        <v>9.8946865237466131E-4</v>
      </c>
      <c r="C125" s="8" t="s">
        <v>156</v>
      </c>
      <c r="D125" s="33" t="str">
        <f t="shared" si="9"/>
        <v>No</v>
      </c>
      <c r="E125" s="74">
        <v>4044.23</v>
      </c>
      <c r="F125" s="19">
        <v>2949.71</v>
      </c>
      <c r="G125" s="19">
        <f>$B125*'CVS Payments'!E$20</f>
        <v>7238.5935144267542</v>
      </c>
      <c r="H125" s="19">
        <f>$B125*'CVS Payments'!F$20</f>
        <v>7238.5935144267542</v>
      </c>
      <c r="I125" s="19">
        <f>$B125*'CVS Payments'!G$20</f>
        <v>7238.5935144267542</v>
      </c>
      <c r="J125" s="19">
        <f>$B125*'CVS Payments'!H$20</f>
        <v>7238.5935144267542</v>
      </c>
      <c r="K125" s="19">
        <f>$B125*'CVS Payments'!I$20</f>
        <v>6876.9508217315697</v>
      </c>
      <c r="L125" s="19">
        <f>$B125*'CVS Payments'!J$20</f>
        <v>6515.3081141897228</v>
      </c>
      <c r="M125" s="19">
        <f>$B125*'CVS Payments'!K$20</f>
        <v>6509.5686763666063</v>
      </c>
      <c r="N125" s="19">
        <f>$B125*'CVS Payments'!L$20</f>
        <v>6509.5686763666063</v>
      </c>
      <c r="O125" s="39" t="s">
        <v>346</v>
      </c>
      <c r="P125" s="7">
        <f t="shared" si="8"/>
        <v>62359.71034636152</v>
      </c>
    </row>
    <row r="126" spans="1:16" x14ac:dyDescent="0.35">
      <c r="A126" s="3" t="s">
        <v>34</v>
      </c>
      <c r="B126" s="16">
        <v>2.4496551937617135E-5</v>
      </c>
      <c r="C126" s="8" t="s">
        <v>157</v>
      </c>
      <c r="D126" s="33" t="str">
        <f t="shared" si="9"/>
        <v>Yes</v>
      </c>
      <c r="E126" s="74">
        <v>1634.2</v>
      </c>
      <c r="F126" s="19">
        <v>0</v>
      </c>
      <c r="G126" s="52">
        <f>$B126*'CVS Payments'!E$20</f>
        <v>179.20788248914761</v>
      </c>
      <c r="H126" s="52">
        <f>$B126*'CVS Payments'!F$20</f>
        <v>179.20788248914761</v>
      </c>
      <c r="I126" s="52">
        <f>$B126*'CVS Payments'!G$20</f>
        <v>179.20788248914761</v>
      </c>
      <c r="J126" s="52">
        <f>$B126*'CVS Payments'!H$20</f>
        <v>179.20788248914761</v>
      </c>
      <c r="K126" s="52">
        <f>$B126*'CVS Payments'!I$20</f>
        <v>170.25459328366719</v>
      </c>
      <c r="L126" s="52">
        <f>$B126*'CVS Payments'!J$20</f>
        <v>161.30130371062381</v>
      </c>
      <c r="M126" s="52">
        <f>$B126*'CVS Payments'!K$20</f>
        <v>161.15921084452921</v>
      </c>
      <c r="N126" s="52">
        <f>$B126*'CVS Payments'!L$20</f>
        <v>161.15921084452921</v>
      </c>
      <c r="O126" s="39" t="s">
        <v>346</v>
      </c>
      <c r="P126" s="7">
        <f>E127</f>
        <v>10188.44</v>
      </c>
    </row>
    <row r="127" spans="1:16" x14ac:dyDescent="0.35">
      <c r="A127" s="3" t="s">
        <v>158</v>
      </c>
      <c r="B127" s="16">
        <v>2.4927201566399999E-3</v>
      </c>
      <c r="C127" s="8" t="s">
        <v>158</v>
      </c>
      <c r="D127" s="33" t="str">
        <f t="shared" si="9"/>
        <v>No</v>
      </c>
      <c r="E127" s="74">
        <v>10188.44</v>
      </c>
      <c r="F127" s="19">
        <v>7431.07</v>
      </c>
      <c r="G127" s="19">
        <f>$B127*'CVS Payments'!E$20</f>
        <v>18235.83588609019</v>
      </c>
      <c r="H127" s="19">
        <f>$B127*'CVS Payments'!F$20</f>
        <v>18235.83588609019</v>
      </c>
      <c r="I127" s="19">
        <f>$B127*'CVS Payments'!G$20</f>
        <v>18235.83588609019</v>
      </c>
      <c r="J127" s="19">
        <f>$B127*'CVS Payments'!H$20</f>
        <v>18235.83588609019</v>
      </c>
      <c r="K127" s="19">
        <f>$B127*'CVS Payments'!I$20</f>
        <v>17324.767074138064</v>
      </c>
      <c r="L127" s="19">
        <f>$B127*'CVS Payments'!J$20</f>
        <v>16413.698224783468</v>
      </c>
      <c r="M127" s="19">
        <f>$B127*'CVS Payments'!K$20</f>
        <v>16399.239138772882</v>
      </c>
      <c r="N127" s="19">
        <f>$B127*'CVS Payments'!L$20</f>
        <v>16399.239138772882</v>
      </c>
      <c r="O127" s="39" t="s">
        <v>346</v>
      </c>
      <c r="P127" s="7">
        <f t="shared" si="8"/>
        <v>157099.79712082807</v>
      </c>
    </row>
    <row r="128" spans="1:16" x14ac:dyDescent="0.35">
      <c r="A128" s="3" t="s">
        <v>22</v>
      </c>
      <c r="B128" s="16">
        <v>4.0472692288000007E-4</v>
      </c>
      <c r="C128" s="8" t="s">
        <v>159</v>
      </c>
      <c r="D128" s="33" t="str">
        <f t="shared" si="9"/>
        <v>No</v>
      </c>
      <c r="E128" s="74">
        <v>1654.23</v>
      </c>
      <c r="F128" s="19">
        <v>1206.53</v>
      </c>
      <c r="G128" s="19">
        <f>$B128*'CVS Payments'!E$20</f>
        <v>2960.8352645049285</v>
      </c>
      <c r="H128" s="19">
        <f>$B128*'CVS Payments'!F$20</f>
        <v>2960.8352645049285</v>
      </c>
      <c r="I128" s="19">
        <f>$B128*'CVS Payments'!G$20</f>
        <v>2960.8352645049285</v>
      </c>
      <c r="J128" s="19">
        <f>$B128*'CVS Payments'!H$20</f>
        <v>2960.8352645049285</v>
      </c>
      <c r="K128" s="19">
        <f>$B128*'CVS Payments'!I$20</f>
        <v>2812.9108872694405</v>
      </c>
      <c r="L128" s="19">
        <f>$B128*'CVS Payments'!J$20</f>
        <v>2664.9865039611536</v>
      </c>
      <c r="M128" s="19">
        <f>$B128*'CVS Payments'!K$20</f>
        <v>2662.6388752579742</v>
      </c>
      <c r="N128" s="19">
        <f>$B128*'CVS Payments'!L$20</f>
        <v>2662.6388752579742</v>
      </c>
      <c r="O128" s="39" t="s">
        <v>346</v>
      </c>
      <c r="P128" s="7">
        <f t="shared" si="8"/>
        <v>25507.276199766256</v>
      </c>
    </row>
    <row r="129" spans="1:16" x14ac:dyDescent="0.35">
      <c r="A129" s="3" t="s">
        <v>160</v>
      </c>
      <c r="B129" s="16">
        <v>1.7506615174257315E-3</v>
      </c>
      <c r="C129" s="8" t="s">
        <v>160</v>
      </c>
      <c r="D129" s="33" t="str">
        <f t="shared" si="9"/>
        <v>No</v>
      </c>
      <c r="E129" s="74">
        <v>7155.44</v>
      </c>
      <c r="F129" s="19">
        <v>5218.91</v>
      </c>
      <c r="G129" s="19">
        <f>$B129*'CVS Payments'!E$20</f>
        <v>12807.204225805061</v>
      </c>
      <c r="H129" s="19">
        <f>$B129*'CVS Payments'!F$20</f>
        <v>12807.204225805061</v>
      </c>
      <c r="I129" s="19">
        <f>$B129*'CVS Payments'!G$20</f>
        <v>12807.204225805061</v>
      </c>
      <c r="J129" s="19">
        <f>$B129*'CVS Payments'!H$20</f>
        <v>12807.204225805061</v>
      </c>
      <c r="K129" s="19">
        <f>$B129*'CVS Payments'!I$20</f>
        <v>12167.351772025704</v>
      </c>
      <c r="L129" s="19">
        <f>$B129*'CVS Payments'!J$20</f>
        <v>11527.499291978229</v>
      </c>
      <c r="M129" s="19">
        <f>$B129*'CVS Payments'!K$20</f>
        <v>11517.344535782091</v>
      </c>
      <c r="N129" s="19">
        <f>$B129*'CVS Payments'!L$20</f>
        <v>11517.344535782091</v>
      </c>
      <c r="O129" s="39" t="s">
        <v>346</v>
      </c>
      <c r="P129" s="7">
        <f t="shared" si="8"/>
        <v>110332.70703878836</v>
      </c>
    </row>
    <row r="130" spans="1:16" x14ac:dyDescent="0.35">
      <c r="A130" s="3" t="s">
        <v>34</v>
      </c>
      <c r="B130" s="16">
        <v>4.9320093758848142E-4</v>
      </c>
      <c r="C130" s="8" t="s">
        <v>161</v>
      </c>
      <c r="D130" s="33" t="str">
        <f t="shared" si="9"/>
        <v>No</v>
      </c>
      <c r="E130" s="74">
        <v>2015.85</v>
      </c>
      <c r="F130" s="19">
        <v>1470.28</v>
      </c>
      <c r="G130" s="19">
        <f>$B130*'CVS Payments'!E$20</f>
        <v>3608.0790427965658</v>
      </c>
      <c r="H130" s="19">
        <f>$B130*'CVS Payments'!F$20</f>
        <v>3608.0790427965658</v>
      </c>
      <c r="I130" s="19">
        <f>$B130*'CVS Payments'!G$20</f>
        <v>3608.0790427965658</v>
      </c>
      <c r="J130" s="19">
        <f>$B130*'CVS Payments'!H$20</f>
        <v>3608.0790427965658</v>
      </c>
      <c r="K130" s="19">
        <f>$B130*'CVS Payments'!I$20</f>
        <v>3427.8181374296</v>
      </c>
      <c r="L130" s="19">
        <f>$B130*'CVS Payments'!J$20</f>
        <v>3247.557224662311</v>
      </c>
      <c r="M130" s="19">
        <f>$B130*'CVS Payments'!K$20</f>
        <v>3244.6964002099162</v>
      </c>
      <c r="N130" s="19">
        <f>$B130*'CVS Payments'!L$20</f>
        <v>3244.6964002099162</v>
      </c>
      <c r="O130" s="39" t="s">
        <v>346</v>
      </c>
      <c r="P130" s="7">
        <f t="shared" si="8"/>
        <v>31083.214333698008</v>
      </c>
    </row>
    <row r="131" spans="1:16" x14ac:dyDescent="0.35">
      <c r="A131" s="3" t="s">
        <v>90</v>
      </c>
      <c r="B131" s="16">
        <v>2.3910807429600001E-2</v>
      </c>
      <c r="C131" s="8" t="s">
        <v>90</v>
      </c>
      <c r="D131" s="33" t="str">
        <f t="shared" si="9"/>
        <v>No</v>
      </c>
      <c r="E131" s="74">
        <v>97730.14</v>
      </c>
      <c r="F131" s="19">
        <v>71280.679999999993</v>
      </c>
      <c r="G131" s="19">
        <f>$B131*'CVS Payments'!E$20</f>
        <v>174922.78827553277</v>
      </c>
      <c r="H131" s="19">
        <f>$B131*'CVS Payments'!F$20</f>
        <v>174922.78827553277</v>
      </c>
      <c r="I131" s="19">
        <f>$B131*'CVS Payments'!G$20</f>
        <v>174922.78827553277</v>
      </c>
      <c r="J131" s="19">
        <f>$B131*'CVS Payments'!H$20</f>
        <v>174922.78827553277</v>
      </c>
      <c r="K131" s="19">
        <f>$B131*'CVS Payments'!I$20</f>
        <v>166183.58389285332</v>
      </c>
      <c r="L131" s="19">
        <f>$B131*'CVS Payments'!J$20</f>
        <v>157444.3791513998</v>
      </c>
      <c r="M131" s="19">
        <f>$B131*'CVS Payments'!K$20</f>
        <v>157305.6839110672</v>
      </c>
      <c r="N131" s="19">
        <f>$B131*'CVS Payments'!L$20</f>
        <v>157305.6839110672</v>
      </c>
      <c r="O131" s="39" t="s">
        <v>346</v>
      </c>
      <c r="P131" s="7">
        <f t="shared" si="8"/>
        <v>1506941.3039685185</v>
      </c>
    </row>
    <row r="132" spans="1:16" x14ac:dyDescent="0.35">
      <c r="A132" s="3" t="s">
        <v>22</v>
      </c>
      <c r="B132" s="16">
        <v>9.9756728509450506E-4</v>
      </c>
      <c r="C132" s="8" t="s">
        <v>162</v>
      </c>
      <c r="D132" s="33" t="str">
        <f t="shared" si="9"/>
        <v>No</v>
      </c>
      <c r="E132" s="74">
        <v>4077.34</v>
      </c>
      <c r="F132" s="19">
        <v>2973.85</v>
      </c>
      <c r="G132" s="19">
        <f>$B132*'CVS Payments'!E$20</f>
        <v>7297.8401718533387</v>
      </c>
      <c r="H132" s="19">
        <f>$B132*'CVS Payments'!F$20</f>
        <v>7297.8401718533387</v>
      </c>
      <c r="I132" s="19">
        <f>$B132*'CVS Payments'!G$20</f>
        <v>7297.8401718533387</v>
      </c>
      <c r="J132" s="19">
        <f>$B132*'CVS Payments'!H$20</f>
        <v>7297.8401718533387</v>
      </c>
      <c r="K132" s="19">
        <f>$B132*'CVS Payments'!I$20</f>
        <v>6933.2374951941092</v>
      </c>
      <c r="L132" s="19">
        <f>$B132*'CVS Payments'!J$20</f>
        <v>6568.6348035667006</v>
      </c>
      <c r="M132" s="19">
        <f>$B132*'CVS Payments'!K$20</f>
        <v>6562.8483894206502</v>
      </c>
      <c r="N132" s="19">
        <f>$B132*'CVS Payments'!L$20</f>
        <v>6562.8483894206502</v>
      </c>
      <c r="O132" s="39" t="s">
        <v>346</v>
      </c>
      <c r="P132" s="7">
        <f t="shared" ref="P132:P195" si="10">SUM(E132:O132)</f>
        <v>62870.119765015472</v>
      </c>
    </row>
    <row r="133" spans="1:16" x14ac:dyDescent="0.35">
      <c r="A133" s="3" t="s">
        <v>163</v>
      </c>
      <c r="B133" s="16">
        <v>2.684628549727351E-4</v>
      </c>
      <c r="C133" s="8" t="s">
        <v>164</v>
      </c>
      <c r="D133" s="33" t="str">
        <f t="shared" si="9"/>
        <v>No</v>
      </c>
      <c r="E133" s="74">
        <v>1097.28</v>
      </c>
      <c r="F133" s="19">
        <v>800.32</v>
      </c>
      <c r="G133" s="19">
        <f>$B133*'CVS Payments'!E$20</f>
        <v>1963.976803313931</v>
      </c>
      <c r="H133" s="19">
        <f>$B133*'CVS Payments'!F$20</f>
        <v>1963.976803313931</v>
      </c>
      <c r="I133" s="19">
        <f>$B133*'CVS Payments'!G$20</f>
        <v>1963.976803313931</v>
      </c>
      <c r="J133" s="19">
        <f>$B133*'CVS Payments'!H$20</f>
        <v>1963.976803313931</v>
      </c>
      <c r="K133" s="19">
        <f>$B133*'CVS Payments'!I$20</f>
        <v>1865.8558274467596</v>
      </c>
      <c r="L133" s="19">
        <f>$B133*'CVS Payments'!J$20</f>
        <v>1767.7348475513884</v>
      </c>
      <c r="M133" s="19">
        <f>$B133*'CVS Payments'!K$20</f>
        <v>1766.1776220038844</v>
      </c>
      <c r="N133" s="19">
        <f>$B133*'CVS Payments'!L$20</f>
        <v>1766.1776220038844</v>
      </c>
      <c r="O133" s="39" t="s">
        <v>346</v>
      </c>
      <c r="P133" s="7">
        <f t="shared" si="10"/>
        <v>16919.453132261639</v>
      </c>
    </row>
    <row r="134" spans="1:16" x14ac:dyDescent="0.35">
      <c r="A134" s="3" t="s">
        <v>163</v>
      </c>
      <c r="B134" s="16">
        <v>5.4943125126400002E-3</v>
      </c>
      <c r="C134" s="8" t="s">
        <v>163</v>
      </c>
      <c r="D134" s="33" t="str">
        <f t="shared" si="9"/>
        <v>No</v>
      </c>
      <c r="E134" s="74">
        <v>22456.79</v>
      </c>
      <c r="F134" s="19">
        <v>16379.13</v>
      </c>
      <c r="G134" s="19">
        <f>$B134*'CVS Payments'!E$20</f>
        <v>40194.396077916761</v>
      </c>
      <c r="H134" s="19">
        <f>$B134*'CVS Payments'!F$20</f>
        <v>40194.396077916761</v>
      </c>
      <c r="I134" s="19">
        <f>$B134*'CVS Payments'!G$20</f>
        <v>40194.396077916761</v>
      </c>
      <c r="J134" s="19">
        <f>$B134*'CVS Payments'!H$20</f>
        <v>40194.396077916761</v>
      </c>
      <c r="K134" s="19">
        <f>$B134*'CVS Payments'!I$20</f>
        <v>38186.269830752331</v>
      </c>
      <c r="L134" s="19">
        <f>$B134*'CVS Payments'!J$20</f>
        <v>36178.14350114749</v>
      </c>
      <c r="M134" s="19">
        <f>$B134*'CVS Payments'!K$20</f>
        <v>36146.27360312557</v>
      </c>
      <c r="N134" s="19">
        <f>$B134*'CVS Payments'!L$20</f>
        <v>36146.27360312557</v>
      </c>
      <c r="O134" s="39" t="s">
        <v>346</v>
      </c>
      <c r="P134" s="7">
        <f t="shared" si="10"/>
        <v>346270.46484981803</v>
      </c>
    </row>
    <row r="135" spans="1:16" x14ac:dyDescent="0.35">
      <c r="A135" s="3" t="s">
        <v>165</v>
      </c>
      <c r="B135" s="16">
        <v>3.5979730057600005E-3</v>
      </c>
      <c r="C135" s="8" t="s">
        <v>165</v>
      </c>
      <c r="D135" s="33" t="str">
        <f t="shared" si="9"/>
        <v>No</v>
      </c>
      <c r="E135" s="74">
        <v>14705.92</v>
      </c>
      <c r="F135" s="19">
        <v>10725.94</v>
      </c>
      <c r="G135" s="19">
        <f>$B135*'CVS Payments'!E$20</f>
        <v>26321.464557843556</v>
      </c>
      <c r="H135" s="19">
        <f>$B135*'CVS Payments'!F$20</f>
        <v>26321.464557843556</v>
      </c>
      <c r="I135" s="19">
        <f>$B135*'CVS Payments'!G$20</f>
        <v>26321.464557843556</v>
      </c>
      <c r="J135" s="19">
        <f>$B135*'CVS Payments'!H$20</f>
        <v>26321.464557843556</v>
      </c>
      <c r="K135" s="19">
        <f>$B135*'CVS Payments'!I$20</f>
        <v>25006.434877090272</v>
      </c>
      <c r="L135" s="19">
        <f>$B135*'CVS Payments'!J$20</f>
        <v>23691.405142350548</v>
      </c>
      <c r="M135" s="19">
        <f>$B135*'CVS Payments'!K$20</f>
        <v>23670.535009369327</v>
      </c>
      <c r="N135" s="19">
        <f>$B135*'CVS Payments'!L$20</f>
        <v>23670.535009369327</v>
      </c>
      <c r="O135" s="39" t="s">
        <v>346</v>
      </c>
      <c r="P135" s="7">
        <f t="shared" si="10"/>
        <v>226756.62826955371</v>
      </c>
    </row>
    <row r="136" spans="1:16" x14ac:dyDescent="0.35">
      <c r="A136" s="3" t="s">
        <v>166</v>
      </c>
      <c r="B136" s="16">
        <v>1.23477897536E-3</v>
      </c>
      <c r="C136" s="8" t="s">
        <v>166</v>
      </c>
      <c r="D136" s="33" t="str">
        <f t="shared" si="9"/>
        <v>No</v>
      </c>
      <c r="E136" s="74">
        <v>5046.8900000000003</v>
      </c>
      <c r="F136" s="19">
        <v>3681.01</v>
      </c>
      <c r="G136" s="19">
        <f>$B136*'CVS Payments'!E$20</f>
        <v>9033.1947973699116</v>
      </c>
      <c r="H136" s="19">
        <f>$B136*'CVS Payments'!F$20</f>
        <v>9033.1947973699116</v>
      </c>
      <c r="I136" s="19">
        <f>$B136*'CVS Payments'!G$20</f>
        <v>9033.1947973699116</v>
      </c>
      <c r="J136" s="19">
        <f>$B136*'CVS Payments'!H$20</f>
        <v>9033.1947973699116</v>
      </c>
      <c r="K136" s="19">
        <f>$B136*'CVS Payments'!I$20</f>
        <v>8581.8931897233215</v>
      </c>
      <c r="L136" s="19">
        <f>$B136*'CVS Payments'!J$20</f>
        <v>8130.5915635492629</v>
      </c>
      <c r="M136" s="19">
        <f>$B136*'CVS Payments'!K$20</f>
        <v>8123.429197023187</v>
      </c>
      <c r="N136" s="19">
        <f>$B136*'CVS Payments'!L$20</f>
        <v>8123.429197023187</v>
      </c>
      <c r="O136" s="39" t="s">
        <v>346</v>
      </c>
      <c r="P136" s="7">
        <f t="shared" si="10"/>
        <v>77820.022336798618</v>
      </c>
    </row>
    <row r="137" spans="1:16" x14ac:dyDescent="0.35">
      <c r="A137" s="3" t="s">
        <v>98</v>
      </c>
      <c r="B137" s="16">
        <v>1.0289042960000001E-4</v>
      </c>
      <c r="C137" s="8" t="s">
        <v>167</v>
      </c>
      <c r="D137" s="33" t="str">
        <f t="shared" si="9"/>
        <v>No</v>
      </c>
      <c r="E137" s="74">
        <v>420.54</v>
      </c>
      <c r="F137" s="19">
        <v>306.73</v>
      </c>
      <c r="G137" s="19">
        <f>$B137*'CVS Payments'!E$20</f>
        <v>752.70903692776278</v>
      </c>
      <c r="H137" s="19">
        <f>$B137*'CVS Payments'!F$20</f>
        <v>752.70903692776278</v>
      </c>
      <c r="I137" s="19">
        <f>$B137*'CVS Payments'!G$20</f>
        <v>752.70903692776278</v>
      </c>
      <c r="J137" s="19">
        <f>$B137*'CVS Payments'!H$20</f>
        <v>752.70903692776278</v>
      </c>
      <c r="K137" s="19">
        <f>$B137*'CVS Payments'!I$20</f>
        <v>715.10342716558614</v>
      </c>
      <c r="L137" s="19">
        <f>$B137*'CVS Payments'!J$20</f>
        <v>677.49781585957135</v>
      </c>
      <c r="M137" s="19">
        <f>$B137*'CVS Payments'!K$20</f>
        <v>676.90099733291493</v>
      </c>
      <c r="N137" s="19">
        <f>$B137*'CVS Payments'!L$20</f>
        <v>676.90099733291493</v>
      </c>
      <c r="O137" s="39" t="s">
        <v>346</v>
      </c>
      <c r="P137" s="7">
        <f t="shared" si="10"/>
        <v>6484.5093854020388</v>
      </c>
    </row>
    <row r="138" spans="1:16" x14ac:dyDescent="0.35">
      <c r="A138" s="3" t="s">
        <v>168</v>
      </c>
      <c r="B138" s="16">
        <v>6.4066292393600011E-3</v>
      </c>
      <c r="C138" s="8" t="s">
        <v>168</v>
      </c>
      <c r="D138" s="33" t="str">
        <f t="shared" si="9"/>
        <v>No</v>
      </c>
      <c r="E138" s="74">
        <v>26185.68</v>
      </c>
      <c r="F138" s="19">
        <v>19098.849999999999</v>
      </c>
      <c r="G138" s="19">
        <f>$B138*'CVS Payments'!E$20</f>
        <v>46868.57410800345</v>
      </c>
      <c r="H138" s="19">
        <f>$B138*'CVS Payments'!F$20</f>
        <v>46868.57410800345</v>
      </c>
      <c r="I138" s="19">
        <f>$B138*'CVS Payments'!G$20</f>
        <v>46868.57410800345</v>
      </c>
      <c r="J138" s="19">
        <f>$B138*'CVS Payments'!H$20</f>
        <v>46868.57410800345</v>
      </c>
      <c r="K138" s="19">
        <f>$B138*'CVS Payments'!I$20</f>
        <v>44527.003565408268</v>
      </c>
      <c r="L138" s="19">
        <f>$B138*'CVS Payments'!J$20</f>
        <v>42185.432926683658</v>
      </c>
      <c r="M138" s="19">
        <f>$B138*'CVS Payments'!K$20</f>
        <v>42148.271112525304</v>
      </c>
      <c r="N138" s="19">
        <f>$B138*'CVS Payments'!L$20</f>
        <v>42148.271112525304</v>
      </c>
      <c r="O138" s="39" t="s">
        <v>346</v>
      </c>
      <c r="P138" s="7">
        <f t="shared" si="10"/>
        <v>403767.80514915637</v>
      </c>
    </row>
    <row r="139" spans="1:16" x14ac:dyDescent="0.35">
      <c r="A139" s="3" t="s">
        <v>55</v>
      </c>
      <c r="B139" s="16">
        <v>1.9759611312000001E-3</v>
      </c>
      <c r="C139" s="8" t="s">
        <v>169</v>
      </c>
      <c r="D139" s="33" t="str">
        <f t="shared" si="9"/>
        <v>No</v>
      </c>
      <c r="E139" s="74">
        <v>8076.3</v>
      </c>
      <c r="F139" s="19">
        <v>5890.55</v>
      </c>
      <c r="G139" s="19">
        <f>$B139*'CVS Payments'!E$20</f>
        <v>14455.414423425098</v>
      </c>
      <c r="H139" s="19">
        <f>$B139*'CVS Payments'!F$20</f>
        <v>14455.414423425098</v>
      </c>
      <c r="I139" s="19">
        <f>$B139*'CVS Payments'!G$20</f>
        <v>14455.414423425098</v>
      </c>
      <c r="J139" s="19">
        <f>$B139*'CVS Payments'!H$20</f>
        <v>14455.414423425098</v>
      </c>
      <c r="K139" s="19">
        <f>$B139*'CVS Payments'!I$20</f>
        <v>13733.216805104179</v>
      </c>
      <c r="L139" s="19">
        <f>$B139*'CVS Payments'!J$20</f>
        <v>13011.019157134589</v>
      </c>
      <c r="M139" s="19">
        <f>$B139*'CVS Payments'!K$20</f>
        <v>12999.55754485794</v>
      </c>
      <c r="N139" s="19">
        <f>$B139*'CVS Payments'!L$20</f>
        <v>12999.55754485794</v>
      </c>
      <c r="O139" s="39" t="s">
        <v>346</v>
      </c>
      <c r="P139" s="7">
        <f t="shared" si="10"/>
        <v>124531.85874565504</v>
      </c>
    </row>
    <row r="140" spans="1:16" x14ac:dyDescent="0.35">
      <c r="A140" s="3" t="s">
        <v>55</v>
      </c>
      <c r="B140" s="16">
        <v>6.4866012853422349E-3</v>
      </c>
      <c r="C140" s="8" t="s">
        <v>55</v>
      </c>
      <c r="D140" s="33" t="str">
        <f t="shared" si="9"/>
        <v>No</v>
      </c>
      <c r="E140" s="74">
        <v>26512.55</v>
      </c>
      <c r="F140" s="19">
        <v>19337.25</v>
      </c>
      <c r="G140" s="19">
        <f>$B140*'CVS Payments'!E$20</f>
        <v>47453.620569044077</v>
      </c>
      <c r="H140" s="19">
        <f>$B140*'CVS Payments'!F$20</f>
        <v>47453.620569044077</v>
      </c>
      <c r="I140" s="19">
        <f>$B140*'CVS Payments'!G$20</f>
        <v>47453.620569044077</v>
      </c>
      <c r="J140" s="19">
        <f>$B140*'CVS Payments'!H$20</f>
        <v>47453.620569044077</v>
      </c>
      <c r="K140" s="19">
        <f>$B140*'CVS Payments'!I$20</f>
        <v>45082.82089829012</v>
      </c>
      <c r="L140" s="19">
        <f>$B140*'CVS Payments'!J$20</f>
        <v>42712.021130206762</v>
      </c>
      <c r="M140" s="19">
        <f>$B140*'CVS Payments'!K$20</f>
        <v>42674.395436182793</v>
      </c>
      <c r="N140" s="19">
        <f>$B140*'CVS Payments'!L$20</f>
        <v>42674.395436182793</v>
      </c>
      <c r="O140" s="39" t="s">
        <v>346</v>
      </c>
      <c r="P140" s="7">
        <f t="shared" si="10"/>
        <v>408807.91517703881</v>
      </c>
    </row>
    <row r="141" spans="1:16" x14ac:dyDescent="0.35">
      <c r="A141" s="3" t="s">
        <v>83</v>
      </c>
      <c r="B141" s="16">
        <v>3.1086096476003178E-4</v>
      </c>
      <c r="C141" s="8" t="s">
        <v>170</v>
      </c>
      <c r="D141" s="33" t="str">
        <f t="shared" si="9"/>
        <v>No</v>
      </c>
      <c r="E141" s="74">
        <v>1270.58</v>
      </c>
      <c r="F141" s="19">
        <v>926.71</v>
      </c>
      <c r="G141" s="19">
        <f>$B141*'CVS Payments'!E$20</f>
        <v>2274.1459853226106</v>
      </c>
      <c r="H141" s="19">
        <f>$B141*'CVS Payments'!F$20</f>
        <v>2274.1459853226106</v>
      </c>
      <c r="I141" s="19">
        <f>$B141*'CVS Payments'!G$20</f>
        <v>2274.1459853226106</v>
      </c>
      <c r="J141" s="19">
        <f>$B141*'CVS Payments'!H$20</f>
        <v>2274.1459853226106</v>
      </c>
      <c r="K141" s="19">
        <f>$B141*'CVS Payments'!I$20</f>
        <v>2160.5288473972823</v>
      </c>
      <c r="L141" s="19">
        <f>$B141*'CVS Payments'!J$20</f>
        <v>2046.9117048075836</v>
      </c>
      <c r="M141" s="19">
        <f>$B141*'CVS Payments'!K$20</f>
        <v>2045.1085479570943</v>
      </c>
      <c r="N141" s="19">
        <f>$B141*'CVS Payments'!L$20</f>
        <v>2045.1085479570943</v>
      </c>
      <c r="O141" s="39" t="s">
        <v>346</v>
      </c>
      <c r="P141" s="7">
        <f t="shared" si="10"/>
        <v>19591.5315894095</v>
      </c>
    </row>
    <row r="142" spans="1:16" x14ac:dyDescent="0.35">
      <c r="A142" s="3" t="s">
        <v>83</v>
      </c>
      <c r="B142" s="16">
        <v>2.2630631961371855E-3</v>
      </c>
      <c r="C142" s="8" t="s">
        <v>171</v>
      </c>
      <c r="D142" s="33" t="str">
        <f t="shared" si="9"/>
        <v>No</v>
      </c>
      <c r="E142" s="74">
        <v>9249.77</v>
      </c>
      <c r="F142" s="19">
        <v>6746.43</v>
      </c>
      <c r="G142" s="19">
        <f>$B142*'CVS Payments'!E$20</f>
        <v>16555.74892138545</v>
      </c>
      <c r="H142" s="19">
        <f>$B142*'CVS Payments'!F$20</f>
        <v>16555.74892138545</v>
      </c>
      <c r="I142" s="19">
        <f>$B142*'CVS Payments'!G$20</f>
        <v>16555.74892138545</v>
      </c>
      <c r="J142" s="19">
        <f>$B142*'CVS Payments'!H$20</f>
        <v>16555.74892138545</v>
      </c>
      <c r="K142" s="19">
        <f>$B142*'CVS Payments'!I$20</f>
        <v>15728.617848535121</v>
      </c>
      <c r="L142" s="19">
        <f>$B142*'CVS Payments'!J$20</f>
        <v>14901.486741728248</v>
      </c>
      <c r="M142" s="19">
        <f>$B142*'CVS Payments'!K$20</f>
        <v>14888.359786697547</v>
      </c>
      <c r="N142" s="19">
        <f>$B142*'CVS Payments'!L$20</f>
        <v>14888.359786697547</v>
      </c>
      <c r="O142" s="39" t="s">
        <v>346</v>
      </c>
      <c r="P142" s="7">
        <f t="shared" si="10"/>
        <v>142626.01984920027</v>
      </c>
    </row>
    <row r="143" spans="1:16" x14ac:dyDescent="0.35">
      <c r="A143" s="3" t="s">
        <v>83</v>
      </c>
      <c r="B143" s="16">
        <v>2.2227072397600002E-2</v>
      </c>
      <c r="C143" s="8" t="s">
        <v>83</v>
      </c>
      <c r="D143" s="33" t="str">
        <f t="shared" si="9"/>
        <v>No</v>
      </c>
      <c r="E143" s="74">
        <v>90848.24</v>
      </c>
      <c r="F143" s="19">
        <v>66261.279999999999</v>
      </c>
      <c r="G143" s="19">
        <f>$B143*'CVS Payments'!E$20</f>
        <v>162605.1939248697</v>
      </c>
      <c r="H143" s="19">
        <f>$B143*'CVS Payments'!F$20</f>
        <v>162605.1939248697</v>
      </c>
      <c r="I143" s="19">
        <f>$B143*'CVS Payments'!G$20</f>
        <v>162605.1939248697</v>
      </c>
      <c r="J143" s="19">
        <f>$B143*'CVS Payments'!H$20</f>
        <v>162605.1939248697</v>
      </c>
      <c r="K143" s="19">
        <f>$B143*'CVS Payments'!I$20</f>
        <v>154481.38091340385</v>
      </c>
      <c r="L143" s="19">
        <f>$B143*'CVS Payments'!J$20</f>
        <v>146357.56756842782</v>
      </c>
      <c r="M143" s="19">
        <f>$B143*'CVS Payments'!K$20</f>
        <v>146228.63887552809</v>
      </c>
      <c r="N143" s="19">
        <f>$B143*'CVS Payments'!L$20</f>
        <v>146228.63887552809</v>
      </c>
      <c r="O143" s="39" t="s">
        <v>346</v>
      </c>
      <c r="P143" s="7">
        <f t="shared" si="10"/>
        <v>1400826.5219323665</v>
      </c>
    </row>
    <row r="144" spans="1:16" x14ac:dyDescent="0.35">
      <c r="A144" s="3" t="s">
        <v>172</v>
      </c>
      <c r="B144" s="16">
        <v>9.8379769212851402E-4</v>
      </c>
      <c r="C144" s="8" t="s">
        <v>172</v>
      </c>
      <c r="D144" s="33" t="str">
        <f t="shared" si="9"/>
        <v>No</v>
      </c>
      <c r="E144" s="74">
        <v>4021.06</v>
      </c>
      <c r="F144" s="19">
        <v>2932.81</v>
      </c>
      <c r="G144" s="19">
        <f>$B144*'CVS Payments'!E$20</f>
        <v>7197.106827648131</v>
      </c>
      <c r="H144" s="19">
        <f>$B144*'CVS Payments'!F$20</f>
        <v>7197.106827648131</v>
      </c>
      <c r="I144" s="19">
        <f>$B144*'CVS Payments'!G$20</f>
        <v>7197.106827648131</v>
      </c>
      <c r="J144" s="19">
        <f>$B144*'CVS Payments'!H$20</f>
        <v>7197.106827648131</v>
      </c>
      <c r="K144" s="19">
        <f>$B144*'CVS Payments'!I$20</f>
        <v>6837.5368245006775</v>
      </c>
      <c r="L144" s="19">
        <f>$B144*'CVS Payments'!J$20</f>
        <v>6477.9668065916521</v>
      </c>
      <c r="M144" s="19">
        <f>$B144*'CVS Payments'!K$20</f>
        <v>6472.2602633161823</v>
      </c>
      <c r="N144" s="19">
        <f>$B144*'CVS Payments'!L$20</f>
        <v>6472.2602633161823</v>
      </c>
      <c r="O144" s="39" t="s">
        <v>346</v>
      </c>
      <c r="P144" s="7">
        <f t="shared" si="10"/>
        <v>62002.321468317212</v>
      </c>
    </row>
    <row r="145" spans="1:16" x14ac:dyDescent="0.35">
      <c r="A145" s="3" t="s">
        <v>14</v>
      </c>
      <c r="B145" s="16">
        <v>3.1145250536960004E-2</v>
      </c>
      <c r="C145" s="8" t="s">
        <v>14</v>
      </c>
      <c r="D145" s="33" t="str">
        <f t="shared" si="9"/>
        <v>No</v>
      </c>
      <c r="E145" s="74">
        <v>131739.15</v>
      </c>
      <c r="F145" s="19">
        <v>93103.12</v>
      </c>
      <c r="G145" s="19">
        <f>$B145*'CVS Payments'!E$20</f>
        <v>227847.34817113689</v>
      </c>
      <c r="H145" s="19">
        <f>$B145*'CVS Payments'!F$20</f>
        <v>227847.34817113689</v>
      </c>
      <c r="I145" s="19">
        <f>$B145*'CVS Payments'!G$20</f>
        <v>227847.34817113689</v>
      </c>
      <c r="J145" s="19">
        <f>$B145*'CVS Payments'!H$20</f>
        <v>227847.34817113689</v>
      </c>
      <c r="K145" s="19">
        <f>$B145*'CVS Payments'!I$20</f>
        <v>216464.01405355692</v>
      </c>
      <c r="L145" s="19">
        <f>$B145*'CVS Payments'!J$20</f>
        <v>205080.67946865235</v>
      </c>
      <c r="M145" s="19">
        <f>$B145*'CVS Payments'!K$20</f>
        <v>204900.02065898391</v>
      </c>
      <c r="N145" s="19">
        <f>$B145*'CVS Payments'!L$20</f>
        <v>204900.02065898391</v>
      </c>
      <c r="O145" s="39" t="s">
        <v>346</v>
      </c>
      <c r="P145" s="7">
        <f t="shared" si="10"/>
        <v>1967576.3975247242</v>
      </c>
    </row>
    <row r="146" spans="1:16" x14ac:dyDescent="0.35">
      <c r="A146" s="3" t="s">
        <v>14</v>
      </c>
      <c r="B146" s="16">
        <v>8.5048985958722254E-4</v>
      </c>
      <c r="C146" s="8" t="s">
        <v>173</v>
      </c>
      <c r="D146" s="33" t="str">
        <f t="shared" si="9"/>
        <v>No</v>
      </c>
      <c r="E146" s="74">
        <v>3476.19</v>
      </c>
      <c r="F146" s="19">
        <v>2535.4</v>
      </c>
      <c r="G146" s="19">
        <f>$B146*'CVS Payments'!E$20</f>
        <v>6221.8751113731032</v>
      </c>
      <c r="H146" s="19">
        <f>$B146*'CVS Payments'!F$20</f>
        <v>6221.8751113731032</v>
      </c>
      <c r="I146" s="19">
        <f>$B146*'CVS Payments'!G$20</f>
        <v>6221.8751113731032</v>
      </c>
      <c r="J146" s="19">
        <f>$B146*'CVS Payments'!H$20</f>
        <v>6221.8751113731032</v>
      </c>
      <c r="K146" s="19">
        <f>$B146*'CVS Payments'!I$20</f>
        <v>5911.028029767318</v>
      </c>
      <c r="L146" s="19">
        <f>$B146*'CVS Payments'!J$20</f>
        <v>5600.1809354002025</v>
      </c>
      <c r="M146" s="19">
        <f>$B146*'CVS Payments'!K$20</f>
        <v>5595.2476475627591</v>
      </c>
      <c r="N146" s="19">
        <f>$B146*'CVS Payments'!L$20</f>
        <v>5595.2476475627591</v>
      </c>
      <c r="O146" s="39" t="s">
        <v>346</v>
      </c>
      <c r="P146" s="7">
        <f t="shared" si="10"/>
        <v>53600.794705785462</v>
      </c>
    </row>
    <row r="147" spans="1:16" x14ac:dyDescent="0.35">
      <c r="A147" s="3" t="s">
        <v>174</v>
      </c>
      <c r="B147" s="16">
        <v>4.0439910399508605E-5</v>
      </c>
      <c r="C147" s="8" t="s">
        <v>174</v>
      </c>
      <c r="D147" s="33" t="str">
        <f t="shared" si="9"/>
        <v>Yes</v>
      </c>
      <c r="E147" s="74">
        <v>2697.81</v>
      </c>
      <c r="F147" s="19">
        <v>0</v>
      </c>
      <c r="G147" s="52">
        <f>$B147*'CVS Payments'!E$20</f>
        <v>295.84370605309573</v>
      </c>
      <c r="H147" s="52">
        <f>$B147*'CVS Payments'!F$20</f>
        <v>295.84370605309573</v>
      </c>
      <c r="I147" s="52">
        <f>$B147*'CVS Payments'!G$20</f>
        <v>295.84370605309573</v>
      </c>
      <c r="J147" s="52">
        <f>$B147*'CVS Payments'!H$20</f>
        <v>295.84370605309573</v>
      </c>
      <c r="K147" s="52">
        <f>$B147*'CVS Payments'!I$20</f>
        <v>281.06324984143936</v>
      </c>
      <c r="L147" s="52">
        <f>$B147*'CVS Payments'!J$20</f>
        <v>266.28279302299501</v>
      </c>
      <c r="M147" s="52">
        <f>$B147*'CVS Payments'!K$20</f>
        <v>266.04822030484644</v>
      </c>
      <c r="N147" s="52">
        <f>$B147*'CVS Payments'!L$20</f>
        <v>266.04822030484644</v>
      </c>
      <c r="O147" s="39" t="s">
        <v>346</v>
      </c>
      <c r="P147" s="7">
        <f>E148</f>
        <v>3334.2</v>
      </c>
    </row>
    <row r="148" spans="1:16" x14ac:dyDescent="0.35">
      <c r="A148" s="3" t="s">
        <v>175</v>
      </c>
      <c r="B148" s="16">
        <v>8.157508475200001E-4</v>
      </c>
      <c r="C148" s="8" t="s">
        <v>175</v>
      </c>
      <c r="D148" s="33" t="str">
        <f t="shared" si="9"/>
        <v>No</v>
      </c>
      <c r="E148" s="74">
        <v>3334.2</v>
      </c>
      <c r="F148" s="19">
        <v>2431.84</v>
      </c>
      <c r="G148" s="19">
        <f>$B148*'CVS Payments'!E$20</f>
        <v>5967.7371082702284</v>
      </c>
      <c r="H148" s="19">
        <f>$B148*'CVS Payments'!F$20</f>
        <v>5967.7371082702284</v>
      </c>
      <c r="I148" s="19">
        <f>$B148*'CVS Payments'!G$20</f>
        <v>5967.7371082702284</v>
      </c>
      <c r="J148" s="19">
        <f>$B148*'CVS Payments'!H$20</f>
        <v>5967.7371082702284</v>
      </c>
      <c r="K148" s="19">
        <f>$B148*'CVS Payments'!I$20</f>
        <v>5669.5868512029565</v>
      </c>
      <c r="L148" s="19">
        <f>$B148*'CVS Payments'!J$20</f>
        <v>5371.436581895603</v>
      </c>
      <c r="M148" s="19">
        <f>$B148*'CVS Payments'!K$20</f>
        <v>5366.7047985720401</v>
      </c>
      <c r="N148" s="19">
        <f>$B148*'CVS Payments'!L$20</f>
        <v>5366.7047985720401</v>
      </c>
      <c r="O148" s="39" t="s">
        <v>346</v>
      </c>
      <c r="P148" s="7">
        <f t="shared" si="10"/>
        <v>51411.421463323553</v>
      </c>
    </row>
    <row r="149" spans="1:16" x14ac:dyDescent="0.35">
      <c r="A149" s="3" t="s">
        <v>176</v>
      </c>
      <c r="B149" s="16">
        <v>5.9449414360000005E-3</v>
      </c>
      <c r="C149" s="8" t="s">
        <v>177</v>
      </c>
      <c r="D149" s="33" t="str">
        <f t="shared" si="9"/>
        <v>No</v>
      </c>
      <c r="E149" s="74">
        <v>24298.63</v>
      </c>
      <c r="F149" s="19">
        <v>17722.509999999998</v>
      </c>
      <c r="G149" s="19">
        <f>$B149*'CVS Payments'!E$20</f>
        <v>43491.033716934842</v>
      </c>
      <c r="H149" s="19">
        <f>$B149*'CVS Payments'!F$20</f>
        <v>43491.033716934842</v>
      </c>
      <c r="I149" s="19">
        <f>$B149*'CVS Payments'!G$20</f>
        <v>43491.033716934842</v>
      </c>
      <c r="J149" s="19">
        <f>$B149*'CVS Payments'!H$20</f>
        <v>43491.033716934842</v>
      </c>
      <c r="K149" s="19">
        <f>$B149*'CVS Payments'!I$20</f>
        <v>41318.206287111287</v>
      </c>
      <c r="L149" s="19">
        <f>$B149*'CVS Payments'!J$20</f>
        <v>39145.378768085764</v>
      </c>
      <c r="M149" s="19">
        <f>$B149*'CVS Payments'!K$20</f>
        <v>39110.894985651532</v>
      </c>
      <c r="N149" s="19">
        <f>$B149*'CVS Payments'!L$20</f>
        <v>39110.894985651532</v>
      </c>
      <c r="O149" s="39" t="s">
        <v>346</v>
      </c>
      <c r="P149" s="7">
        <f t="shared" si="10"/>
        <v>374670.6498942395</v>
      </c>
    </row>
    <row r="150" spans="1:16" x14ac:dyDescent="0.35">
      <c r="A150" s="3" t="s">
        <v>178</v>
      </c>
      <c r="B150" s="16">
        <v>4.7307352990073126E-3</v>
      </c>
      <c r="C150" s="8" t="s">
        <v>178</v>
      </c>
      <c r="D150" s="33" t="str">
        <f t="shared" si="9"/>
        <v>No</v>
      </c>
      <c r="E150" s="74">
        <v>19335.830000000002</v>
      </c>
      <c r="F150" s="19">
        <v>14102.83</v>
      </c>
      <c r="G150" s="19">
        <f>$B150*'CVS Payments'!E$20</f>
        <v>34608.342337759721</v>
      </c>
      <c r="H150" s="19">
        <f>$B150*'CVS Payments'!F$20</f>
        <v>34608.342337759721</v>
      </c>
      <c r="I150" s="19">
        <f>$B150*'CVS Payments'!G$20</f>
        <v>34608.342337759721</v>
      </c>
      <c r="J150" s="19">
        <f>$B150*'CVS Payments'!H$20</f>
        <v>34608.342337759721</v>
      </c>
      <c r="K150" s="19">
        <f>$B150*'CVS Payments'!I$20</f>
        <v>32879.297311567869</v>
      </c>
      <c r="L150" s="19">
        <f>$B150*'CVS Payments'!J$20</f>
        <v>31150.252214392833</v>
      </c>
      <c r="M150" s="19">
        <f>$B150*'CVS Payments'!K$20</f>
        <v>31122.811465217903</v>
      </c>
      <c r="N150" s="19">
        <f>$B150*'CVS Payments'!L$20</f>
        <v>31122.811465217903</v>
      </c>
      <c r="O150" s="39" t="s">
        <v>346</v>
      </c>
      <c r="P150" s="7">
        <f t="shared" si="10"/>
        <v>298147.20180743543</v>
      </c>
    </row>
    <row r="151" spans="1:16" x14ac:dyDescent="0.35">
      <c r="A151" s="3" t="s">
        <v>179</v>
      </c>
      <c r="B151" s="16">
        <v>1.38586949984E-3</v>
      </c>
      <c r="C151" s="8" t="s">
        <v>179</v>
      </c>
      <c r="D151" s="33" t="str">
        <f t="shared" si="9"/>
        <v>No</v>
      </c>
      <c r="E151" s="74">
        <v>5664.44</v>
      </c>
      <c r="F151" s="19">
        <v>4131.43</v>
      </c>
      <c r="G151" s="19">
        <f>$B151*'CVS Payments'!E$20</f>
        <v>10138.518233304438</v>
      </c>
      <c r="H151" s="19">
        <f>$B151*'CVS Payments'!F$20</f>
        <v>10138.518233304438</v>
      </c>
      <c r="I151" s="19">
        <f>$B151*'CVS Payments'!G$20</f>
        <v>10138.518233304438</v>
      </c>
      <c r="J151" s="19">
        <f>$B151*'CVS Payments'!H$20</f>
        <v>10138.518233304438</v>
      </c>
      <c r="K151" s="19">
        <f>$B151*'CVS Payments'!I$20</f>
        <v>9631.9942757809295</v>
      </c>
      <c r="L151" s="19">
        <f>$B151*'CVS Payments'!J$20</f>
        <v>9125.470297462889</v>
      </c>
      <c r="M151" s="19">
        <f>$B151*'CVS Payments'!K$20</f>
        <v>9117.4315265466048</v>
      </c>
      <c r="N151" s="19">
        <f>$B151*'CVS Payments'!L$20</f>
        <v>9117.4315265466048</v>
      </c>
      <c r="O151" s="39" t="s">
        <v>346</v>
      </c>
      <c r="P151" s="7">
        <f t="shared" si="10"/>
        <v>87342.27055955476</v>
      </c>
    </row>
    <row r="152" spans="1:16" x14ac:dyDescent="0.35">
      <c r="A152" s="3" t="s">
        <v>16</v>
      </c>
      <c r="B152" s="16">
        <v>8.8237929539200007E-3</v>
      </c>
      <c r="C152" s="8" t="s">
        <v>16</v>
      </c>
      <c r="D152" s="33" t="str">
        <f t="shared" si="9"/>
        <v>No</v>
      </c>
      <c r="E152" s="74">
        <v>36065.300000000003</v>
      </c>
      <c r="F152" s="19">
        <v>26304.67</v>
      </c>
      <c r="G152" s="19">
        <f>$B152*'CVS Payments'!E$20</f>
        <v>64551.666488474868</v>
      </c>
      <c r="H152" s="19">
        <f>$B152*'CVS Payments'!F$20</f>
        <v>64551.666488474868</v>
      </c>
      <c r="I152" s="19">
        <f>$B152*'CVS Payments'!G$20</f>
        <v>64551.666488474868</v>
      </c>
      <c r="J152" s="19">
        <f>$B152*'CVS Payments'!H$20</f>
        <v>64551.666488474868</v>
      </c>
      <c r="K152" s="19">
        <f>$B152*'CVS Payments'!I$20</f>
        <v>61326.642395006027</v>
      </c>
      <c r="L152" s="19">
        <f>$B152*'CVS Payments'!J$20</f>
        <v>58101.618169138979</v>
      </c>
      <c r="M152" s="19">
        <f>$B152*'CVS Payments'!K$20</f>
        <v>58050.435536014091</v>
      </c>
      <c r="N152" s="19">
        <f>$B152*'CVS Payments'!L$20</f>
        <v>58050.435536014091</v>
      </c>
      <c r="O152" s="39" t="s">
        <v>346</v>
      </c>
      <c r="P152" s="7">
        <f t="shared" si="10"/>
        <v>556105.7675900727</v>
      </c>
    </row>
    <row r="153" spans="1:16" x14ac:dyDescent="0.35">
      <c r="A153" s="3" t="s">
        <v>75</v>
      </c>
      <c r="B153" s="16">
        <v>6.68759179371164E-5</v>
      </c>
      <c r="C153" s="8" t="s">
        <v>180</v>
      </c>
      <c r="D153" s="8" t="s">
        <v>338</v>
      </c>
      <c r="E153" s="74">
        <v>0</v>
      </c>
      <c r="F153" s="19">
        <v>0</v>
      </c>
      <c r="G153" s="19">
        <v>0</v>
      </c>
      <c r="H153" s="19">
        <v>0</v>
      </c>
      <c r="I153" s="19">
        <v>0</v>
      </c>
      <c r="J153" s="19">
        <v>0</v>
      </c>
      <c r="K153" s="19">
        <v>0</v>
      </c>
      <c r="L153" s="19">
        <v>0</v>
      </c>
      <c r="M153" s="19">
        <v>0</v>
      </c>
      <c r="N153" s="19">
        <v>0</v>
      </c>
      <c r="O153" s="39" t="s">
        <v>346</v>
      </c>
      <c r="P153" s="7">
        <f t="shared" si="10"/>
        <v>0</v>
      </c>
    </row>
    <row r="154" spans="1:16" x14ac:dyDescent="0.35">
      <c r="A154" s="3" t="s">
        <v>55</v>
      </c>
      <c r="B154" s="16">
        <v>5.4332409981697403E-5</v>
      </c>
      <c r="C154" s="8" t="s">
        <v>181</v>
      </c>
      <c r="D154" s="33" t="str">
        <f t="shared" ref="D154:D177" si="11">IF(B154&lt;0.000083,"Yes","No")</f>
        <v>Yes</v>
      </c>
      <c r="E154" s="74">
        <v>3624.6</v>
      </c>
      <c r="F154" s="19">
        <v>0</v>
      </c>
      <c r="G154" s="52">
        <f>$B154*'CVS Payments'!E$20</f>
        <v>397.4761904511264</v>
      </c>
      <c r="H154" s="52">
        <f>$B154*'CVS Payments'!F$20</f>
        <v>397.4761904511264</v>
      </c>
      <c r="I154" s="52">
        <f>$B154*'CVS Payments'!G$20</f>
        <v>397.4761904511264</v>
      </c>
      <c r="J154" s="52">
        <f>$B154*'CVS Payments'!H$20</f>
        <v>397.4761904511264</v>
      </c>
      <c r="K154" s="52">
        <f>$B154*'CVS Payments'!I$20</f>
        <v>377.61813936558303</v>
      </c>
      <c r="L154" s="52">
        <f>$B154*'CVS Payments'!J$20</f>
        <v>357.76008746479914</v>
      </c>
      <c r="M154" s="52">
        <f>$B154*'CVS Payments'!K$20</f>
        <v>357.44493095314857</v>
      </c>
      <c r="N154" s="52">
        <f>$B154*'CVS Payments'!L$20</f>
        <v>357.44493095314857</v>
      </c>
      <c r="O154" s="39" t="s">
        <v>346</v>
      </c>
      <c r="P154" s="7">
        <f>E155</f>
        <v>435.91</v>
      </c>
    </row>
    <row r="155" spans="1:16" x14ac:dyDescent="0.35">
      <c r="A155" s="3" t="s">
        <v>47</v>
      </c>
      <c r="B155" s="16">
        <v>1.0664953412549122E-4</v>
      </c>
      <c r="C155" s="8" t="s">
        <v>182</v>
      </c>
      <c r="D155" s="33" t="str">
        <f t="shared" si="11"/>
        <v>No</v>
      </c>
      <c r="E155" s="74">
        <v>435.91</v>
      </c>
      <c r="F155" s="19">
        <v>317.93</v>
      </c>
      <c r="G155" s="19">
        <f>$B155*'CVS Payments'!E$20</f>
        <v>780.20928119822975</v>
      </c>
      <c r="H155" s="19">
        <f>$B155*'CVS Payments'!F$20</f>
        <v>780.20928119822975</v>
      </c>
      <c r="I155" s="19">
        <f>$B155*'CVS Payments'!G$20</f>
        <v>780.20928119822975</v>
      </c>
      <c r="J155" s="19">
        <f>$B155*'CVS Payments'!H$20</f>
        <v>780.20928119822975</v>
      </c>
      <c r="K155" s="19">
        <f>$B155*'CVS Payments'!I$20</f>
        <v>741.22974950385378</v>
      </c>
      <c r="L155" s="19">
        <f>$B155*'CVS Payments'!J$20</f>
        <v>702.25021620923542</v>
      </c>
      <c r="M155" s="19">
        <f>$B155*'CVS Payments'!K$20</f>
        <v>701.63159290216197</v>
      </c>
      <c r="N155" s="19">
        <f>$B155*'CVS Payments'!L$20</f>
        <v>701.63159290216197</v>
      </c>
      <c r="O155" s="39" t="s">
        <v>346</v>
      </c>
      <c r="P155" s="7">
        <f t="shared" si="10"/>
        <v>6721.4202763103322</v>
      </c>
    </row>
    <row r="156" spans="1:16" x14ac:dyDescent="0.35">
      <c r="A156" s="3" t="s">
        <v>22</v>
      </c>
      <c r="B156" s="16">
        <v>9.4938127254031108E-4</v>
      </c>
      <c r="C156" s="8" t="s">
        <v>183</v>
      </c>
      <c r="D156" s="33" t="str">
        <f t="shared" si="11"/>
        <v>No</v>
      </c>
      <c r="E156" s="74">
        <v>3880.39</v>
      </c>
      <c r="F156" s="19">
        <v>2830.21</v>
      </c>
      <c r="G156" s="19">
        <f>$B156*'CVS Payments'!E$20</f>
        <v>6945.3287940307264</v>
      </c>
      <c r="H156" s="19">
        <f>$B156*'CVS Payments'!F$20</f>
        <v>6945.3287940307264</v>
      </c>
      <c r="I156" s="19">
        <f>$B156*'CVS Payments'!G$20</f>
        <v>6945.3287940307264</v>
      </c>
      <c r="J156" s="19">
        <f>$B156*'CVS Payments'!H$20</f>
        <v>6945.3287940307264</v>
      </c>
      <c r="K156" s="19">
        <f>$B156*'CVS Payments'!I$20</f>
        <v>6598.3377105114332</v>
      </c>
      <c r="L156" s="19">
        <f>$B156*'CVS Payments'!J$20</f>
        <v>6251.3466127469746</v>
      </c>
      <c r="M156" s="19">
        <f>$B156*'CVS Payments'!K$20</f>
        <v>6245.8397027795918</v>
      </c>
      <c r="N156" s="19">
        <f>$B156*'CVS Payments'!L$20</f>
        <v>6245.8397027795918</v>
      </c>
      <c r="O156" s="39" t="s">
        <v>346</v>
      </c>
      <c r="P156" s="7">
        <f t="shared" si="10"/>
        <v>59833.278904940504</v>
      </c>
    </row>
    <row r="157" spans="1:16" x14ac:dyDescent="0.35">
      <c r="A157" s="3" t="s">
        <v>60</v>
      </c>
      <c r="B157" s="16">
        <v>1.4976536817760001E-2</v>
      </c>
      <c r="C157" s="8" t="s">
        <v>60</v>
      </c>
      <c r="D157" s="33" t="str">
        <f t="shared" si="11"/>
        <v>No</v>
      </c>
      <c r="E157" s="74">
        <v>61263.729999999996</v>
      </c>
      <c r="F157" s="19">
        <v>44646.66</v>
      </c>
      <c r="G157" s="19">
        <f>$B157*'CVS Payments'!E$20</f>
        <v>109562.90734166894</v>
      </c>
      <c r="H157" s="19">
        <f>$B157*'CVS Payments'!F$20</f>
        <v>109562.90734166894</v>
      </c>
      <c r="I157" s="19">
        <f>$B157*'CVS Payments'!G$20</f>
        <v>109562.90734166894</v>
      </c>
      <c r="J157" s="19">
        <f>$B157*'CVS Payments'!H$20</f>
        <v>109562.90734166894</v>
      </c>
      <c r="K157" s="19">
        <f>$B157*'CVS Payments'!I$20</f>
        <v>104089.10573206273</v>
      </c>
      <c r="L157" s="19">
        <f>$B157*'CVS Payments'!J$20</f>
        <v>98615.303897738355</v>
      </c>
      <c r="M157" s="19">
        <f>$B157*'CVS Payments'!K$20</f>
        <v>98528.432118966142</v>
      </c>
      <c r="N157" s="19">
        <f>$B157*'CVS Payments'!L$20</f>
        <v>98528.432118966142</v>
      </c>
      <c r="O157" s="39" t="s">
        <v>346</v>
      </c>
      <c r="P157" s="7">
        <f t="shared" si="10"/>
        <v>943923.29323440907</v>
      </c>
    </row>
    <row r="158" spans="1:16" x14ac:dyDescent="0.35">
      <c r="A158" s="3" t="s">
        <v>22</v>
      </c>
      <c r="B158" s="16">
        <v>4.4797409664000002E-3</v>
      </c>
      <c r="C158" s="8" t="s">
        <v>184</v>
      </c>
      <c r="D158" s="33" t="str">
        <f t="shared" si="11"/>
        <v>No</v>
      </c>
      <c r="E158" s="74">
        <v>18309.95</v>
      </c>
      <c r="F158" s="19">
        <v>13354.59</v>
      </c>
      <c r="G158" s="19">
        <f>$B158*'CVS Payments'!E$20</f>
        <v>32772.158903540912</v>
      </c>
      <c r="H158" s="19">
        <f>$B158*'CVS Payments'!F$20</f>
        <v>32772.158903540912</v>
      </c>
      <c r="I158" s="19">
        <f>$B158*'CVS Payments'!G$20</f>
        <v>32772.158903540912</v>
      </c>
      <c r="J158" s="19">
        <f>$B158*'CVS Payments'!H$20</f>
        <v>32772.158903540912</v>
      </c>
      <c r="K158" s="19">
        <f>$B158*'CVS Payments'!I$20</f>
        <v>31134.850251288237</v>
      </c>
      <c r="L158" s="19">
        <f>$B158*'CVS Payments'!J$20</f>
        <v>29497.541531818475</v>
      </c>
      <c r="M158" s="19">
        <f>$B158*'CVS Payments'!K$20</f>
        <v>29471.556681587383</v>
      </c>
      <c r="N158" s="19">
        <f>$B158*'CVS Payments'!L$20</f>
        <v>29471.556681587383</v>
      </c>
      <c r="O158" s="39" t="s">
        <v>346</v>
      </c>
      <c r="P158" s="7">
        <f t="shared" si="10"/>
        <v>282328.68076044513</v>
      </c>
    </row>
    <row r="159" spans="1:16" x14ac:dyDescent="0.35">
      <c r="A159" s="3" t="s">
        <v>185</v>
      </c>
      <c r="B159" s="16">
        <v>7.1513735216000008E-4</v>
      </c>
      <c r="C159" s="8" t="s">
        <v>185</v>
      </c>
      <c r="D159" s="33" t="str">
        <f t="shared" si="11"/>
        <v>No</v>
      </c>
      <c r="E159" s="74">
        <v>2922.97</v>
      </c>
      <c r="F159" s="19">
        <v>2131.9</v>
      </c>
      <c r="G159" s="19">
        <f>$B159*'CVS Payments'!E$20</f>
        <v>5231.6852957859937</v>
      </c>
      <c r="H159" s="19">
        <f>$B159*'CVS Payments'!F$20</f>
        <v>5231.6852957859937</v>
      </c>
      <c r="I159" s="19">
        <f>$B159*'CVS Payments'!G$20</f>
        <v>5231.6852957859937</v>
      </c>
      <c r="J159" s="19">
        <f>$B159*'CVS Payments'!H$20</f>
        <v>5231.6852957859937</v>
      </c>
      <c r="K159" s="19">
        <f>$B159*'CVS Payments'!I$20</f>
        <v>4970.3084476550648</v>
      </c>
      <c r="L159" s="19">
        <f>$B159*'CVS Payments'!J$20</f>
        <v>4708.9315887937264</v>
      </c>
      <c r="M159" s="19">
        <f>$B159*'CVS Payments'!K$20</f>
        <v>4704.7834165824497</v>
      </c>
      <c r="N159" s="19">
        <f>$B159*'CVS Payments'!L$20</f>
        <v>4704.7834165824497</v>
      </c>
      <c r="O159" s="39" t="s">
        <v>346</v>
      </c>
      <c r="P159" s="7">
        <f t="shared" si="10"/>
        <v>45070.418052757668</v>
      </c>
    </row>
    <row r="160" spans="1:16" x14ac:dyDescent="0.35">
      <c r="A160" s="3" t="s">
        <v>34</v>
      </c>
      <c r="B160" s="16">
        <v>3.6024341155030474E-5</v>
      </c>
      <c r="C160" s="8" t="s">
        <v>186</v>
      </c>
      <c r="D160" s="33" t="str">
        <f t="shared" si="11"/>
        <v>Yes</v>
      </c>
      <c r="E160" s="74">
        <v>2403.2399999999998</v>
      </c>
      <c r="F160" s="19">
        <v>0</v>
      </c>
      <c r="G160" s="52">
        <f>$B160*'CVS Payments'!E$20</f>
        <v>263.541004174796</v>
      </c>
      <c r="H160" s="52">
        <f>$B160*'CVS Payments'!F$20</f>
        <v>263.541004174796</v>
      </c>
      <c r="I160" s="52">
        <f>$B160*'CVS Payments'!G$20</f>
        <v>263.541004174796</v>
      </c>
      <c r="J160" s="52">
        <f>$B160*'CVS Payments'!H$20</f>
        <v>263.541004174796</v>
      </c>
      <c r="K160" s="52">
        <f>$B160*'CVS Payments'!I$20</f>
        <v>250.37440237633686</v>
      </c>
      <c r="L160" s="52">
        <f>$B160*'CVS Payments'!J$20</f>
        <v>237.2078000373439</v>
      </c>
      <c r="M160" s="52">
        <f>$B160*'CVS Payments'!K$20</f>
        <v>236.99883993973819</v>
      </c>
      <c r="N160" s="52">
        <f>$B160*'CVS Payments'!L$20</f>
        <v>236.99883993973819</v>
      </c>
      <c r="O160" s="39" t="s">
        <v>346</v>
      </c>
      <c r="P160" s="7">
        <f>E161</f>
        <v>2221.4</v>
      </c>
    </row>
    <row r="161" spans="1:16" x14ac:dyDescent="0.35">
      <c r="A161" s="3" t="s">
        <v>187</v>
      </c>
      <c r="B161" s="16">
        <v>5.4349003265225979E-4</v>
      </c>
      <c r="C161" s="8" t="s">
        <v>187</v>
      </c>
      <c r="D161" s="33" t="str">
        <f t="shared" si="11"/>
        <v>No</v>
      </c>
      <c r="E161" s="74">
        <v>2221.4</v>
      </c>
      <c r="F161" s="19">
        <v>1620.2</v>
      </c>
      <c r="G161" s="19">
        <f>$B161*'CVS Payments'!E$20</f>
        <v>3975.9758089057564</v>
      </c>
      <c r="H161" s="19">
        <f>$B161*'CVS Payments'!F$20</f>
        <v>3975.9758089057564</v>
      </c>
      <c r="I161" s="19">
        <f>$B161*'CVS Payments'!G$20</f>
        <v>3975.9758089057564</v>
      </c>
      <c r="J161" s="19">
        <f>$B161*'CVS Payments'!H$20</f>
        <v>3975.9758089057564</v>
      </c>
      <c r="K161" s="19">
        <f>$B161*'CVS Payments'!I$20</f>
        <v>3777.3346509573448</v>
      </c>
      <c r="L161" s="19">
        <f>$B161*'CVS Payments'!J$20</f>
        <v>3578.6934848540382</v>
      </c>
      <c r="M161" s="19">
        <f>$B161*'CVS Payments'!K$20</f>
        <v>3575.5409572399449</v>
      </c>
      <c r="N161" s="19">
        <f>$B161*'CVS Payments'!L$20</f>
        <v>3575.5409572399449</v>
      </c>
      <c r="O161" s="39" t="s">
        <v>346</v>
      </c>
      <c r="P161" s="7">
        <f t="shared" si="10"/>
        <v>34252.613285914296</v>
      </c>
    </row>
    <row r="162" spans="1:16" x14ac:dyDescent="0.35">
      <c r="A162" s="3" t="s">
        <v>75</v>
      </c>
      <c r="B162" s="16">
        <v>8.6511046550880003E-2</v>
      </c>
      <c r="C162" s="8" t="s">
        <v>75</v>
      </c>
      <c r="D162" s="33" t="str">
        <f t="shared" si="11"/>
        <v>No</v>
      </c>
      <c r="E162" s="74">
        <v>358056.17000000004</v>
      </c>
      <c r="F162" s="19">
        <v>257898.69</v>
      </c>
      <c r="G162" s="19">
        <f>$B162*'CVS Payments'!E$20</f>
        <v>632883.41574701457</v>
      </c>
      <c r="H162" s="19">
        <f>$B162*'CVS Payments'!F$20</f>
        <v>632883.41574701457</v>
      </c>
      <c r="I162" s="19">
        <f>$B162*'CVS Payments'!G$20</f>
        <v>632883.41574701457</v>
      </c>
      <c r="J162" s="19">
        <f>$B162*'CVS Payments'!H$20</f>
        <v>632883.41574701457</v>
      </c>
      <c r="K162" s="19">
        <f>$B162*'CVS Payments'!I$20</f>
        <v>601264.33640836738</v>
      </c>
      <c r="L162" s="19">
        <f>$B162*'CVS Payments'!J$20</f>
        <v>569645.25577164954</v>
      </c>
      <c r="M162" s="19">
        <f>$B162*'CVS Payments'!K$20</f>
        <v>569143.44626864011</v>
      </c>
      <c r="N162" s="19">
        <f>$B162*'CVS Payments'!L$20</f>
        <v>569143.44626864011</v>
      </c>
      <c r="O162" s="39" t="s">
        <v>346</v>
      </c>
      <c r="P162" s="7">
        <f t="shared" si="10"/>
        <v>5456685.0077053569</v>
      </c>
    </row>
    <row r="163" spans="1:16" x14ac:dyDescent="0.35">
      <c r="A163" s="3" t="s">
        <v>75</v>
      </c>
      <c r="B163" s="16">
        <v>6.4650348945139346E-4</v>
      </c>
      <c r="C163" s="8" t="s">
        <v>188</v>
      </c>
      <c r="D163" s="33" t="str">
        <f t="shared" si="11"/>
        <v>No</v>
      </c>
      <c r="E163" s="74">
        <v>2642.44</v>
      </c>
      <c r="F163" s="19">
        <v>1927.3</v>
      </c>
      <c r="G163" s="19">
        <f>$B163*'CVS Payments'!E$20</f>
        <v>4729.5848681673342</v>
      </c>
      <c r="H163" s="19">
        <f>$B163*'CVS Payments'!F$20</f>
        <v>4729.5848681673342</v>
      </c>
      <c r="I163" s="19">
        <f>$B163*'CVS Payments'!G$20</f>
        <v>4729.5848681673342</v>
      </c>
      <c r="J163" s="19">
        <f>$B163*'CVS Payments'!H$20</f>
        <v>4729.5848681673342</v>
      </c>
      <c r="K163" s="19">
        <f>$B163*'CVS Payments'!I$20</f>
        <v>4493.2931350225581</v>
      </c>
      <c r="L163" s="19">
        <f>$B163*'CVS Payments'!J$20</f>
        <v>4257.0013921772024</v>
      </c>
      <c r="M163" s="19">
        <f>$B163*'CVS Payments'!K$20</f>
        <v>4253.2513324140873</v>
      </c>
      <c r="N163" s="19">
        <f>$B163*'CVS Payments'!L$20</f>
        <v>4253.2513324140873</v>
      </c>
      <c r="O163" s="39" t="s">
        <v>346</v>
      </c>
      <c r="P163" s="7">
        <f t="shared" si="10"/>
        <v>40744.87666469728</v>
      </c>
    </row>
    <row r="164" spans="1:16" x14ac:dyDescent="0.35">
      <c r="A164" s="3" t="s">
        <v>34</v>
      </c>
      <c r="B164" s="16">
        <v>8.6236729860592748E-4</v>
      </c>
      <c r="C164" s="8" t="s">
        <v>189</v>
      </c>
      <c r="D164" s="33" t="str">
        <f t="shared" si="11"/>
        <v>No</v>
      </c>
      <c r="E164" s="74">
        <v>3524.74</v>
      </c>
      <c r="F164" s="19">
        <v>2570.81</v>
      </c>
      <c r="G164" s="19">
        <f>$B164*'CVS Payments'!E$20</f>
        <v>6308.7661440929978</v>
      </c>
      <c r="H164" s="19">
        <f>$B164*'CVS Payments'!F$20</f>
        <v>6308.7661440929978</v>
      </c>
      <c r="I164" s="19">
        <f>$B164*'CVS Payments'!G$20</f>
        <v>6308.7661440929978</v>
      </c>
      <c r="J164" s="19">
        <f>$B164*'CVS Payments'!H$20</f>
        <v>6308.7661440929978</v>
      </c>
      <c r="K164" s="19">
        <f>$B164*'CVS Payments'!I$20</f>
        <v>5993.57795575408</v>
      </c>
      <c r="L164" s="19">
        <f>$B164*'CVS Payments'!J$20</f>
        <v>5678.3897544756146</v>
      </c>
      <c r="M164" s="19">
        <f>$B164*'CVS Payments'!K$20</f>
        <v>5673.3875712541876</v>
      </c>
      <c r="N164" s="19">
        <f>$B164*'CVS Payments'!L$20</f>
        <v>5673.3875712541876</v>
      </c>
      <c r="O164" s="39" t="s">
        <v>346</v>
      </c>
      <c r="P164" s="7">
        <f t="shared" si="10"/>
        <v>54349.357429110052</v>
      </c>
    </row>
    <row r="165" spans="1:16" x14ac:dyDescent="0.35">
      <c r="A165" s="3" t="s">
        <v>190</v>
      </c>
      <c r="B165" s="16">
        <v>3.4954682537600003E-3</v>
      </c>
      <c r="C165" s="8" t="s">
        <v>190</v>
      </c>
      <c r="D165" s="33" t="str">
        <f t="shared" si="11"/>
        <v>No</v>
      </c>
      <c r="E165" s="74">
        <v>14286.95</v>
      </c>
      <c r="F165" s="19">
        <v>10420.370000000001</v>
      </c>
      <c r="G165" s="19">
        <f>$B165*'CVS Payments'!E$20</f>
        <v>25571.57699824842</v>
      </c>
      <c r="H165" s="19">
        <f>$B165*'CVS Payments'!F$20</f>
        <v>25571.57699824842</v>
      </c>
      <c r="I165" s="19">
        <f>$B165*'CVS Payments'!G$20</f>
        <v>25571.57699824842</v>
      </c>
      <c r="J165" s="19">
        <f>$B165*'CVS Payments'!H$20</f>
        <v>25571.57699824842</v>
      </c>
      <c r="K165" s="19">
        <f>$B165*'CVS Payments'!I$20</f>
        <v>24294.011965251651</v>
      </c>
      <c r="L165" s="19">
        <f>$B165*'CVS Payments'!J$20</f>
        <v>23016.446879806495</v>
      </c>
      <c r="M165" s="19">
        <f>$B165*'CVS Payments'!K$20</f>
        <v>22996.171328219301</v>
      </c>
      <c r="N165" s="19">
        <f>$B165*'CVS Payments'!L$20</f>
        <v>22996.171328219301</v>
      </c>
      <c r="O165" s="39" t="s">
        <v>346</v>
      </c>
      <c r="P165" s="7">
        <f t="shared" si="10"/>
        <v>220296.42949449041</v>
      </c>
    </row>
    <row r="166" spans="1:16" x14ac:dyDescent="0.35">
      <c r="A166" s="3" t="s">
        <v>60</v>
      </c>
      <c r="B166" s="16">
        <v>1.1882634073892149E-6</v>
      </c>
      <c r="C166" s="8" t="s">
        <v>191</v>
      </c>
      <c r="D166" s="33" t="str">
        <f t="shared" si="11"/>
        <v>Yes</v>
      </c>
      <c r="E166" s="74">
        <v>79.27</v>
      </c>
      <c r="F166" s="19">
        <v>0</v>
      </c>
      <c r="G166" s="52">
        <f>$B166*'CVS Payments'!E$20</f>
        <v>8.692903785800091</v>
      </c>
      <c r="H166" s="52">
        <f>$B166*'CVS Payments'!F$20</f>
        <v>8.692903785800091</v>
      </c>
      <c r="I166" s="52">
        <f>$B166*'CVS Payments'!G$20</f>
        <v>8.692903785800091</v>
      </c>
      <c r="J166" s="52">
        <f>$B166*'CVS Payments'!H$20</f>
        <v>8.692903785800091</v>
      </c>
      <c r="K166" s="52">
        <f>$B166*'CVS Payments'!I$20</f>
        <v>8.2586032374723857</v>
      </c>
      <c r="L166" s="52">
        <f>$B166*'CVS Payments'!J$20</f>
        <v>7.8243026713151655</v>
      </c>
      <c r="M166" s="52">
        <f>$B166*'CVS Payments'!K$20</f>
        <v>7.8174101195119059</v>
      </c>
      <c r="N166" s="52">
        <f>$B166*'CVS Payments'!L$20</f>
        <v>7.8174101195119059</v>
      </c>
      <c r="O166" s="39" t="s">
        <v>346</v>
      </c>
      <c r="P166" s="7">
        <f>E167</f>
        <v>765.61</v>
      </c>
    </row>
    <row r="167" spans="1:16" x14ac:dyDescent="0.35">
      <c r="A167" s="3" t="s">
        <v>192</v>
      </c>
      <c r="B167" s="16">
        <v>1.8731634511339281E-4</v>
      </c>
      <c r="C167" s="8" t="s">
        <v>193</v>
      </c>
      <c r="D167" s="33" t="str">
        <f t="shared" si="11"/>
        <v>No</v>
      </c>
      <c r="E167" s="74">
        <v>765.61</v>
      </c>
      <c r="F167" s="19">
        <v>558.41</v>
      </c>
      <c r="G167" s="19">
        <f>$B167*'CVS Payments'!E$20</f>
        <v>1370.3383908422356</v>
      </c>
      <c r="H167" s="19">
        <f>$B167*'CVS Payments'!F$20</f>
        <v>1370.3383908422356</v>
      </c>
      <c r="I167" s="19">
        <f>$B167*'CVS Payments'!G$20</f>
        <v>1370.3383908422356</v>
      </c>
      <c r="J167" s="19">
        <f>$B167*'CVS Payments'!H$20</f>
        <v>1370.3383908422356</v>
      </c>
      <c r="K167" s="19">
        <f>$B167*'CVS Payments'!I$20</f>
        <v>1301.8758000668206</v>
      </c>
      <c r="L167" s="19">
        <f>$B167*'CVS Payments'!J$20</f>
        <v>1233.4132064807834</v>
      </c>
      <c r="M167" s="19">
        <f>$B167*'CVS Payments'!K$20</f>
        <v>1232.3266733061835</v>
      </c>
      <c r="N167" s="19">
        <f>$B167*'CVS Payments'!L$20</f>
        <v>1232.3266733061835</v>
      </c>
      <c r="O167" s="39" t="s">
        <v>346</v>
      </c>
      <c r="P167" s="7">
        <f t="shared" si="10"/>
        <v>11805.315916528911</v>
      </c>
    </row>
    <row r="168" spans="1:16" x14ac:dyDescent="0.35">
      <c r="A168" s="3" t="s">
        <v>192</v>
      </c>
      <c r="B168" s="16">
        <v>6.0352741926400005E-3</v>
      </c>
      <c r="C168" s="8" t="s">
        <v>192</v>
      </c>
      <c r="D168" s="33" t="str">
        <f t="shared" si="11"/>
        <v>No</v>
      </c>
      <c r="E168" s="74">
        <v>24667.85</v>
      </c>
      <c r="F168" s="19">
        <v>17991.8</v>
      </c>
      <c r="G168" s="19">
        <f>$B168*'CVS Payments'!E$20</f>
        <v>44151.875376531963</v>
      </c>
      <c r="H168" s="19">
        <f>$B168*'CVS Payments'!F$20</f>
        <v>44151.875376531963</v>
      </c>
      <c r="I168" s="19">
        <f>$B168*'CVS Payments'!G$20</f>
        <v>44151.875376531963</v>
      </c>
      <c r="J168" s="19">
        <f>$B168*'CVS Payments'!H$20</f>
        <v>44151.875376531963</v>
      </c>
      <c r="K168" s="19">
        <f>$B168*'CVS Payments'!I$20</f>
        <v>41946.032063616534</v>
      </c>
      <c r="L168" s="19">
        <f>$B168*'CVS Payments'!J$20</f>
        <v>39740.188660143736</v>
      </c>
      <c r="M168" s="19">
        <f>$B168*'CVS Payments'!K$20</f>
        <v>39705.180900280924</v>
      </c>
      <c r="N168" s="19">
        <f>$B168*'CVS Payments'!L$20</f>
        <v>39705.180900280924</v>
      </c>
      <c r="O168" s="39" t="s">
        <v>346</v>
      </c>
      <c r="P168" s="7">
        <f t="shared" si="10"/>
        <v>380363.73403045005</v>
      </c>
    </row>
    <row r="169" spans="1:16" x14ac:dyDescent="0.35">
      <c r="A169" s="3" t="s">
        <v>194</v>
      </c>
      <c r="B169" s="16">
        <v>2.7857703115200002E-3</v>
      </c>
      <c r="C169" s="8" t="s">
        <v>194</v>
      </c>
      <c r="D169" s="33" t="str">
        <f t="shared" si="11"/>
        <v>No</v>
      </c>
      <c r="E169" s="74">
        <v>11386.22</v>
      </c>
      <c r="F169" s="19">
        <v>8304.68</v>
      </c>
      <c r="G169" s="19">
        <f>$B169*'CVS Payments'!E$20</f>
        <v>20379.684451100522</v>
      </c>
      <c r="H169" s="19">
        <f>$B169*'CVS Payments'!F$20</f>
        <v>20379.684451100522</v>
      </c>
      <c r="I169" s="19">
        <f>$B169*'CVS Payments'!G$20</f>
        <v>20379.684451100522</v>
      </c>
      <c r="J169" s="19">
        <f>$B169*'CVS Payments'!H$20</f>
        <v>20379.684451100522</v>
      </c>
      <c r="K169" s="19">
        <f>$B169*'CVS Payments'!I$20</f>
        <v>19361.508206435698</v>
      </c>
      <c r="L169" s="19">
        <f>$B169*'CVS Payments'!J$20</f>
        <v>18343.331919971279</v>
      </c>
      <c r="M169" s="19">
        <f>$B169*'CVS Payments'!K$20</f>
        <v>18327.172989161212</v>
      </c>
      <c r="N169" s="19">
        <f>$B169*'CVS Payments'!L$20</f>
        <v>18327.172989161212</v>
      </c>
      <c r="O169" s="39" t="s">
        <v>346</v>
      </c>
      <c r="P169" s="7">
        <f t="shared" si="10"/>
        <v>175568.82390913149</v>
      </c>
    </row>
    <row r="170" spans="1:16" x14ac:dyDescent="0.35">
      <c r="A170" s="3" t="s">
        <v>52</v>
      </c>
      <c r="B170" s="16">
        <v>1.9846587479771158E-3</v>
      </c>
      <c r="C170" s="8" t="s">
        <v>52</v>
      </c>
      <c r="D170" s="33" t="str">
        <f t="shared" si="11"/>
        <v>No</v>
      </c>
      <c r="E170" s="74">
        <v>8111.85</v>
      </c>
      <c r="F170" s="19">
        <v>5916.48</v>
      </c>
      <c r="G170" s="19">
        <f>$B170*'CVS Payments'!E$20</f>
        <v>14519.0430308021</v>
      </c>
      <c r="H170" s="19">
        <f>$B170*'CVS Payments'!F$20</f>
        <v>14519.0430308021</v>
      </c>
      <c r="I170" s="19">
        <f>$B170*'CVS Payments'!G$20</f>
        <v>14519.0430308021</v>
      </c>
      <c r="J170" s="19">
        <f>$B170*'CVS Payments'!H$20</f>
        <v>14519.0430308021</v>
      </c>
      <c r="K170" s="19">
        <f>$B170*'CVS Payments'!I$20</f>
        <v>13793.666504747462</v>
      </c>
      <c r="L170" s="19">
        <f>$B170*'CVS Payments'!J$20</f>
        <v>13068.289948913647</v>
      </c>
      <c r="M170" s="19">
        <f>$B170*'CVS Payments'!K$20</f>
        <v>13056.777885891965</v>
      </c>
      <c r="N170" s="19">
        <f>$B170*'CVS Payments'!L$20</f>
        <v>13056.777885891965</v>
      </c>
      <c r="O170" s="39" t="s">
        <v>346</v>
      </c>
      <c r="P170" s="7">
        <f t="shared" si="10"/>
        <v>125080.01434865344</v>
      </c>
    </row>
    <row r="171" spans="1:16" x14ac:dyDescent="0.35">
      <c r="A171" s="3" t="s">
        <v>22</v>
      </c>
      <c r="B171" s="16">
        <v>3.1054294121660652E-4</v>
      </c>
      <c r="C171" s="8" t="s">
        <v>195</v>
      </c>
      <c r="D171" s="33" t="str">
        <f t="shared" si="11"/>
        <v>No</v>
      </c>
      <c r="E171" s="74">
        <v>1269.28</v>
      </c>
      <c r="F171" s="19">
        <v>925.76</v>
      </c>
      <c r="G171" s="19">
        <f>$B171*'CVS Payments'!E$20</f>
        <v>2271.8194405115664</v>
      </c>
      <c r="H171" s="19">
        <f>$B171*'CVS Payments'!F$20</f>
        <v>2271.8194405115664</v>
      </c>
      <c r="I171" s="19">
        <f>$B171*'CVS Payments'!G$20</f>
        <v>2271.8194405115664</v>
      </c>
      <c r="J171" s="19">
        <f>$B171*'CVS Payments'!H$20</f>
        <v>2271.8194405115664</v>
      </c>
      <c r="K171" s="19">
        <f>$B171*'CVS Payments'!I$20</f>
        <v>2158.318537588033</v>
      </c>
      <c r="L171" s="19">
        <f>$B171*'CVS Payments'!J$20</f>
        <v>2044.8176300049013</v>
      </c>
      <c r="M171" s="19">
        <f>$B171*'CVS Payments'!K$20</f>
        <v>2043.0163178579801</v>
      </c>
      <c r="N171" s="19">
        <f>$B171*'CVS Payments'!L$20</f>
        <v>2043.0163178579801</v>
      </c>
      <c r="O171" s="39" t="s">
        <v>346</v>
      </c>
      <c r="P171" s="7">
        <f t="shared" si="10"/>
        <v>19571.486565355157</v>
      </c>
    </row>
    <row r="172" spans="1:16" x14ac:dyDescent="0.35">
      <c r="A172" s="3" t="s">
        <v>196</v>
      </c>
      <c r="B172" s="16">
        <v>9.4422835263283285E-4</v>
      </c>
      <c r="C172" s="8" t="s">
        <v>196</v>
      </c>
      <c r="D172" s="33" t="str">
        <f t="shared" si="11"/>
        <v>No</v>
      </c>
      <c r="E172" s="74">
        <v>3859.32</v>
      </c>
      <c r="F172" s="19">
        <v>2814.85</v>
      </c>
      <c r="G172" s="19">
        <f>$B172*'CVS Payments'!E$20</f>
        <v>6907.6319023372753</v>
      </c>
      <c r="H172" s="19">
        <f>$B172*'CVS Payments'!F$20</f>
        <v>6907.6319023372753</v>
      </c>
      <c r="I172" s="19">
        <f>$B172*'CVS Payments'!G$20</f>
        <v>6907.6319023372753</v>
      </c>
      <c r="J172" s="19">
        <f>$B172*'CVS Payments'!H$20</f>
        <v>6907.6319023372753</v>
      </c>
      <c r="K172" s="19">
        <f>$B172*'CVS Payments'!I$20</f>
        <v>6562.5241688625847</v>
      </c>
      <c r="L172" s="19">
        <f>$B172*'CVS Payments'!J$20</f>
        <v>6217.4164212200476</v>
      </c>
      <c r="M172" s="19">
        <f>$B172*'CVS Payments'!K$20</f>
        <v>6211.9394008942872</v>
      </c>
      <c r="N172" s="19">
        <f>$B172*'CVS Payments'!L$20</f>
        <v>6211.9394008942872</v>
      </c>
      <c r="O172" s="39" t="s">
        <v>346</v>
      </c>
      <c r="P172" s="7">
        <f t="shared" si="10"/>
        <v>59508.517001220316</v>
      </c>
    </row>
    <row r="173" spans="1:16" x14ac:dyDescent="0.35">
      <c r="A173" s="3" t="s">
        <v>90</v>
      </c>
      <c r="B173" s="16">
        <v>4.2307814899981359E-4</v>
      </c>
      <c r="C173" s="8" t="s">
        <v>197</v>
      </c>
      <c r="D173" s="33" t="str">
        <f t="shared" si="11"/>
        <v>No</v>
      </c>
      <c r="E173" s="74">
        <v>1729.24</v>
      </c>
      <c r="F173" s="19">
        <v>1261.24</v>
      </c>
      <c r="G173" s="19">
        <f>$B173*'CVS Payments'!E$20</f>
        <v>3095.0861738731646</v>
      </c>
      <c r="H173" s="19">
        <f>$B173*'CVS Payments'!F$20</f>
        <v>3095.0861738731646</v>
      </c>
      <c r="I173" s="19">
        <f>$B173*'CVS Payments'!G$20</f>
        <v>3095.0861738731646</v>
      </c>
      <c r="J173" s="19">
        <f>$B173*'CVS Payments'!H$20</f>
        <v>3095.0861738731646</v>
      </c>
      <c r="K173" s="19">
        <f>$B173*'CVS Payments'!I$20</f>
        <v>2940.4545737132307</v>
      </c>
      <c r="L173" s="19">
        <f>$B173*'CVS Payments'!J$20</f>
        <v>2785.8229672051439</v>
      </c>
      <c r="M173" s="19">
        <f>$B173*'CVS Payments'!K$20</f>
        <v>2783.3688917529548</v>
      </c>
      <c r="N173" s="19">
        <f>$B173*'CVS Payments'!L$20</f>
        <v>2783.3688917529548</v>
      </c>
      <c r="O173" s="39" t="s">
        <v>346</v>
      </c>
      <c r="P173" s="7">
        <f t="shared" si="10"/>
        <v>26663.840019916948</v>
      </c>
    </row>
    <row r="174" spans="1:16" x14ac:dyDescent="0.35">
      <c r="A174" s="3" t="s">
        <v>198</v>
      </c>
      <c r="B174" s="16">
        <v>1.8064208801171536E-3</v>
      </c>
      <c r="C174" s="8" t="s">
        <v>199</v>
      </c>
      <c r="D174" s="33" t="str">
        <f t="shared" si="11"/>
        <v>No</v>
      </c>
      <c r="E174" s="74">
        <v>7383.35</v>
      </c>
      <c r="F174" s="19">
        <v>5385.13</v>
      </c>
      <c r="G174" s="19">
        <f>$B174*'CVS Payments'!E$20</f>
        <v>13215.119484341079</v>
      </c>
      <c r="H174" s="19">
        <f>$B174*'CVS Payments'!F$20</f>
        <v>13215.119484341079</v>
      </c>
      <c r="I174" s="19">
        <f>$B174*'CVS Payments'!G$20</f>
        <v>13215.119484341079</v>
      </c>
      <c r="J174" s="19">
        <f>$B174*'CVS Payments'!H$20</f>
        <v>13215.119484341079</v>
      </c>
      <c r="K174" s="19">
        <f>$B174*'CVS Payments'!I$20</f>
        <v>12554.887439941751</v>
      </c>
      <c r="L174" s="19">
        <f>$B174*'CVS Payments'!J$20</f>
        <v>11894.655368437649</v>
      </c>
      <c r="M174" s="19">
        <f>$B174*'CVS Payments'!K$20</f>
        <v>11884.177178654751</v>
      </c>
      <c r="N174" s="19">
        <f>$B174*'CVS Payments'!L$20</f>
        <v>11884.177178654751</v>
      </c>
      <c r="O174" s="39" t="s">
        <v>346</v>
      </c>
      <c r="P174" s="7">
        <f t="shared" si="10"/>
        <v>113846.85510305321</v>
      </c>
    </row>
    <row r="175" spans="1:16" x14ac:dyDescent="0.35">
      <c r="A175" s="3" t="s">
        <v>200</v>
      </c>
      <c r="B175" s="16">
        <v>3.2176018624034916E-3</v>
      </c>
      <c r="C175" s="8" t="s">
        <v>200</v>
      </c>
      <c r="D175" s="33" t="str">
        <f t="shared" si="11"/>
        <v>No</v>
      </c>
      <c r="E175" s="74">
        <v>13151.24</v>
      </c>
      <c r="F175" s="19">
        <v>9592.02</v>
      </c>
      <c r="G175" s="19">
        <f>$B175*'CVS Payments'!E$20</f>
        <v>23538.807335942038</v>
      </c>
      <c r="H175" s="19">
        <f>$B175*'CVS Payments'!F$20</f>
        <v>23538.807335942038</v>
      </c>
      <c r="I175" s="19">
        <f>$B175*'CVS Payments'!G$20</f>
        <v>23538.807335942038</v>
      </c>
      <c r="J175" s="19">
        <f>$B175*'CVS Payments'!H$20</f>
        <v>23538.807335942038</v>
      </c>
      <c r="K175" s="19">
        <f>$B175*'CVS Payments'!I$20</f>
        <v>22362.800194383766</v>
      </c>
      <c r="L175" s="19">
        <f>$B175*'CVS Payments'!J$20</f>
        <v>21186.793004546405</v>
      </c>
      <c r="M175" s="19">
        <f>$B175*'CVS Payments'!K$20</f>
        <v>21168.129223956199</v>
      </c>
      <c r="N175" s="19">
        <f>$B175*'CVS Payments'!L$20</f>
        <v>21168.129223956199</v>
      </c>
      <c r="O175" s="39" t="s">
        <v>346</v>
      </c>
      <c r="P175" s="7">
        <f t="shared" si="10"/>
        <v>202784.34099061074</v>
      </c>
    </row>
    <row r="176" spans="1:16" x14ac:dyDescent="0.35">
      <c r="A176" s="3" t="s">
        <v>34</v>
      </c>
      <c r="B176" s="16">
        <v>3.840748936462473E-5</v>
      </c>
      <c r="C176" s="8" t="s">
        <v>201</v>
      </c>
      <c r="D176" s="33" t="str">
        <f t="shared" si="11"/>
        <v>Yes</v>
      </c>
      <c r="E176" s="74">
        <v>2562.23</v>
      </c>
      <c r="F176" s="19">
        <v>0</v>
      </c>
      <c r="G176" s="52">
        <f>$B176*'CVS Payments'!E$20</f>
        <v>280.97525146750837</v>
      </c>
      <c r="H176" s="52">
        <f>$B176*'CVS Payments'!F$20</f>
        <v>280.97525146750837</v>
      </c>
      <c r="I176" s="52">
        <f>$B176*'CVS Payments'!G$20</f>
        <v>280.97525146750837</v>
      </c>
      <c r="J176" s="52">
        <f>$B176*'CVS Payments'!H$20</f>
        <v>280.97525146750837</v>
      </c>
      <c r="K176" s="52">
        <f>$B176*'CVS Payments'!I$20</f>
        <v>266.9376285067911</v>
      </c>
      <c r="L176" s="52">
        <f>$B176*'CVS Payments'!J$20</f>
        <v>252.90000496978163</v>
      </c>
      <c r="M176" s="52">
        <f>$B176*'CVS Payments'!K$20</f>
        <v>252.6772213610021</v>
      </c>
      <c r="N176" s="52">
        <f>$B176*'CVS Payments'!L$20</f>
        <v>252.6772213610021</v>
      </c>
      <c r="O176" s="39" t="s">
        <v>346</v>
      </c>
      <c r="P176" s="7">
        <f>E177</f>
        <v>2449.21</v>
      </c>
    </row>
    <row r="177" spans="1:16" x14ac:dyDescent="0.35">
      <c r="A177" s="3" t="s">
        <v>202</v>
      </c>
      <c r="B177" s="16">
        <v>5.9922724256234404E-4</v>
      </c>
      <c r="C177" s="8" t="s">
        <v>202</v>
      </c>
      <c r="D177" s="33" t="str">
        <f t="shared" si="11"/>
        <v>No</v>
      </c>
      <c r="E177" s="74">
        <v>2449.21</v>
      </c>
      <c r="F177" s="19">
        <v>1786.36</v>
      </c>
      <c r="G177" s="19">
        <f>$B177*'CVS Payments'!E$20</f>
        <v>4383.7290057342789</v>
      </c>
      <c r="H177" s="19">
        <f>$B177*'CVS Payments'!F$20</f>
        <v>4383.7290057342789</v>
      </c>
      <c r="I177" s="19">
        <f>$B177*'CVS Payments'!G$20</f>
        <v>4383.7290057342789</v>
      </c>
      <c r="J177" s="19">
        <f>$B177*'CVS Payments'!H$20</f>
        <v>4383.7290057342789</v>
      </c>
      <c r="K177" s="19">
        <f>$B177*'CVS Payments'!I$20</f>
        <v>4164.7163538261302</v>
      </c>
      <c r="L177" s="19">
        <f>$B177*'CVS Payments'!J$20</f>
        <v>3945.7036929267674</v>
      </c>
      <c r="M177" s="19">
        <f>$B177*'CVS Payments'!K$20</f>
        <v>3942.2278602236802</v>
      </c>
      <c r="N177" s="19">
        <f>$B177*'CVS Payments'!L$20</f>
        <v>3942.2278602236802</v>
      </c>
      <c r="O177" s="39" t="s">
        <v>346</v>
      </c>
      <c r="P177" s="7">
        <f t="shared" si="10"/>
        <v>37765.36179013738</v>
      </c>
    </row>
    <row r="178" spans="1:16" x14ac:dyDescent="0.35">
      <c r="A178" s="3" t="s">
        <v>36</v>
      </c>
      <c r="B178" s="16">
        <v>2.6396387324336113E-5</v>
      </c>
      <c r="C178" s="8" t="s">
        <v>203</v>
      </c>
      <c r="D178" s="8" t="s">
        <v>338</v>
      </c>
      <c r="E178" s="74">
        <v>0</v>
      </c>
      <c r="F178" s="19">
        <v>0</v>
      </c>
      <c r="G178" s="19">
        <v>0</v>
      </c>
      <c r="H178" s="19">
        <v>0</v>
      </c>
      <c r="I178" s="19">
        <v>0</v>
      </c>
      <c r="J178" s="19">
        <v>0</v>
      </c>
      <c r="K178" s="19">
        <v>0</v>
      </c>
      <c r="L178" s="19">
        <v>0</v>
      </c>
      <c r="M178" s="19">
        <v>0</v>
      </c>
      <c r="N178" s="19">
        <v>0</v>
      </c>
      <c r="O178" s="39" t="s">
        <v>346</v>
      </c>
      <c r="P178" s="7">
        <f t="shared" si="10"/>
        <v>0</v>
      </c>
    </row>
    <row r="179" spans="1:16" x14ac:dyDescent="0.35">
      <c r="A179" s="3" t="s">
        <v>45</v>
      </c>
      <c r="B179" s="16">
        <v>7.1543601524750355E-5</v>
      </c>
      <c r="C179" s="8" t="s">
        <v>204</v>
      </c>
      <c r="D179" s="33" t="str">
        <f t="shared" ref="D179:D242" si="12">IF(B179&lt;0.000083,"Yes","No")</f>
        <v>Yes</v>
      </c>
      <c r="E179" s="74">
        <v>4772.79</v>
      </c>
      <c r="F179" s="19">
        <v>0</v>
      </c>
      <c r="G179" s="52">
        <f>$B179*'CVS Payments'!E$20</f>
        <v>523.38702065287578</v>
      </c>
      <c r="H179" s="52">
        <f>$B179*'CVS Payments'!F$20</f>
        <v>523.38702065287578</v>
      </c>
      <c r="I179" s="52">
        <f>$B179*'CVS Payments'!G$20</f>
        <v>523.38702065287578</v>
      </c>
      <c r="J179" s="52">
        <f>$B179*'CVS Payments'!H$20</f>
        <v>523.38702065287578</v>
      </c>
      <c r="K179" s="52">
        <f>$B179*'CVS Payments'!I$20</f>
        <v>497.23841994841888</v>
      </c>
      <c r="L179" s="52">
        <f>$B179*'CVS Payments'!J$20</f>
        <v>471.08981817047305</v>
      </c>
      <c r="M179" s="52">
        <f>$B179*'CVS Payments'!K$20</f>
        <v>470.67482770906975</v>
      </c>
      <c r="N179" s="52">
        <f>$B179*'CVS Payments'!L$20</f>
        <v>470.67482770906975</v>
      </c>
      <c r="O179" s="39" t="s">
        <v>346</v>
      </c>
      <c r="P179" s="7">
        <f>E180</f>
        <v>5133.63</v>
      </c>
    </row>
    <row r="180" spans="1:16" x14ac:dyDescent="0.35">
      <c r="A180" s="3" t="s">
        <v>45</v>
      </c>
      <c r="B180" s="16">
        <v>1.256002277532938E-3</v>
      </c>
      <c r="C180" s="8" t="s">
        <v>205</v>
      </c>
      <c r="D180" s="33" t="str">
        <f t="shared" si="12"/>
        <v>No</v>
      </c>
      <c r="E180" s="74">
        <v>5133.63</v>
      </c>
      <c r="F180" s="19">
        <v>3744.28</v>
      </c>
      <c r="G180" s="19">
        <f>$B180*'CVS Payments'!E$20</f>
        <v>9188.4567726685273</v>
      </c>
      <c r="H180" s="19">
        <f>$B180*'CVS Payments'!F$20</f>
        <v>9188.4567726685273</v>
      </c>
      <c r="I180" s="19">
        <f>$B180*'CVS Payments'!G$20</f>
        <v>9188.4567726685273</v>
      </c>
      <c r="J180" s="19">
        <f>$B180*'CVS Payments'!H$20</f>
        <v>9188.4567726685273</v>
      </c>
      <c r="K180" s="19">
        <f>$B180*'CVS Payments'!I$20</f>
        <v>8729.3982218107631</v>
      </c>
      <c r="L180" s="19">
        <f>$B180*'CVS Payments'!J$20</f>
        <v>8270.3396521070845</v>
      </c>
      <c r="M180" s="19">
        <f>$B180*'CVS Payments'!K$20</f>
        <v>8263.0541792825625</v>
      </c>
      <c r="N180" s="19">
        <f>$B180*'CVS Payments'!L$20</f>
        <v>8263.0541792825625</v>
      </c>
      <c r="O180" s="39" t="s">
        <v>346</v>
      </c>
      <c r="P180" s="7">
        <f t="shared" si="10"/>
        <v>79157.583323157087</v>
      </c>
    </row>
    <row r="181" spans="1:16" x14ac:dyDescent="0.35">
      <c r="A181" s="3" t="s">
        <v>45</v>
      </c>
      <c r="B181" s="16">
        <v>1.7154393930240004E-2</v>
      </c>
      <c r="C181" s="8" t="s">
        <v>45</v>
      </c>
      <c r="D181" s="33" t="str">
        <f t="shared" si="12"/>
        <v>No</v>
      </c>
      <c r="E181" s="74">
        <v>70114.789999999994</v>
      </c>
      <c r="F181" s="19">
        <v>51139.09</v>
      </c>
      <c r="G181" s="19">
        <f>$B181*'CVS Payments'!E$20</f>
        <v>125495.31948217671</v>
      </c>
      <c r="H181" s="19">
        <f>$B181*'CVS Payments'!F$20</f>
        <v>125495.31948217671</v>
      </c>
      <c r="I181" s="19">
        <f>$B181*'CVS Payments'!G$20</f>
        <v>125495.31948217671</v>
      </c>
      <c r="J181" s="19">
        <f>$B181*'CVS Payments'!H$20</f>
        <v>125495.31948217671</v>
      </c>
      <c r="K181" s="19">
        <f>$B181*'CVS Payments'!I$20</f>
        <v>119225.52892580356</v>
      </c>
      <c r="L181" s="19">
        <f>$B181*'CVS Payments'!J$20</f>
        <v>112955.73811203417</v>
      </c>
      <c r="M181" s="19">
        <f>$B181*'CVS Payments'!K$20</f>
        <v>112856.23361826414</v>
      </c>
      <c r="N181" s="19">
        <f>$B181*'CVS Payments'!L$20</f>
        <v>112856.23361826414</v>
      </c>
      <c r="O181" s="39" t="s">
        <v>346</v>
      </c>
      <c r="P181" s="7">
        <f t="shared" si="10"/>
        <v>1081128.8922030728</v>
      </c>
    </row>
    <row r="182" spans="1:16" x14ac:dyDescent="0.35">
      <c r="A182" s="3" t="s">
        <v>206</v>
      </c>
      <c r="B182" s="16">
        <v>6.9578341280000008E-3</v>
      </c>
      <c r="C182" s="8" t="s">
        <v>206</v>
      </c>
      <c r="D182" s="33" t="str">
        <f t="shared" si="12"/>
        <v>No</v>
      </c>
      <c r="E182" s="74">
        <v>28438.61</v>
      </c>
      <c r="F182" s="19">
        <v>20742.05</v>
      </c>
      <c r="G182" s="19">
        <f>$B182*'CVS Payments'!E$20</f>
        <v>50900.989003062736</v>
      </c>
      <c r="H182" s="19">
        <f>$B182*'CVS Payments'!F$20</f>
        <v>50900.989003062736</v>
      </c>
      <c r="I182" s="19">
        <f>$B182*'CVS Payments'!G$20</f>
        <v>50900.989003062736</v>
      </c>
      <c r="J182" s="19">
        <f>$B182*'CVS Payments'!H$20</f>
        <v>50900.989003062736</v>
      </c>
      <c r="K182" s="19">
        <f>$B182*'CVS Payments'!I$20</f>
        <v>48357.957585809105</v>
      </c>
      <c r="L182" s="19">
        <f>$B182*'CVS Payments'!J$20</f>
        <v>45814.926064155385</v>
      </c>
      <c r="M182" s="19">
        <f>$B182*'CVS Payments'!K$20</f>
        <v>45774.566972166605</v>
      </c>
      <c r="N182" s="19">
        <f>$B182*'CVS Payments'!L$20</f>
        <v>45774.566972166605</v>
      </c>
      <c r="O182" s="39" t="s">
        <v>346</v>
      </c>
      <c r="P182" s="7">
        <f t="shared" si="10"/>
        <v>438506.63360654865</v>
      </c>
    </row>
    <row r="183" spans="1:16" x14ac:dyDescent="0.35">
      <c r="A183" s="3" t="s">
        <v>207</v>
      </c>
      <c r="B183" s="16">
        <v>9.8584816064000011E-4</v>
      </c>
      <c r="C183" s="8" t="s">
        <v>207</v>
      </c>
      <c r="D183" s="33" t="str">
        <f t="shared" si="12"/>
        <v>No</v>
      </c>
      <c r="E183" s="74">
        <v>4029.44</v>
      </c>
      <c r="F183" s="19">
        <v>2938.92</v>
      </c>
      <c r="G183" s="19">
        <f>$B183*'CVS Payments'!E$20</f>
        <v>7212.1073110218676</v>
      </c>
      <c r="H183" s="19">
        <f>$B183*'CVS Payments'!F$20</f>
        <v>7212.1073110218676</v>
      </c>
      <c r="I183" s="19">
        <f>$B183*'CVS Payments'!G$20</f>
        <v>7212.1073110218676</v>
      </c>
      <c r="J183" s="19">
        <f>$B183*'CVS Payments'!H$20</f>
        <v>7212.1073110218676</v>
      </c>
      <c r="K183" s="19">
        <f>$B183*'CVS Payments'!I$20</f>
        <v>6851.7878784185123</v>
      </c>
      <c r="L183" s="19">
        <f>$B183*'CVS Payments'!J$20</f>
        <v>6491.4684310228185</v>
      </c>
      <c r="M183" s="19">
        <f>$B183*'CVS Payments'!K$20</f>
        <v>6485.7499939531381</v>
      </c>
      <c r="N183" s="19">
        <f>$B183*'CVS Payments'!L$20</f>
        <v>6485.7499939531381</v>
      </c>
      <c r="O183" s="39" t="s">
        <v>346</v>
      </c>
      <c r="P183" s="7">
        <f t="shared" si="10"/>
        <v>62131.545541435087</v>
      </c>
    </row>
    <row r="184" spans="1:16" x14ac:dyDescent="0.35">
      <c r="A184" s="3" t="s">
        <v>75</v>
      </c>
      <c r="B184" s="16">
        <v>3.0056747918547061E-4</v>
      </c>
      <c r="C184" s="8" t="s">
        <v>208</v>
      </c>
      <c r="D184" s="33" t="str">
        <f t="shared" si="12"/>
        <v>No</v>
      </c>
      <c r="E184" s="74">
        <v>1228.5</v>
      </c>
      <c r="F184" s="19">
        <v>896.02</v>
      </c>
      <c r="G184" s="19">
        <f>$B184*'CVS Payments'!E$20</f>
        <v>2198.8425810742356</v>
      </c>
      <c r="H184" s="19">
        <f>$B184*'CVS Payments'!F$20</f>
        <v>2198.8425810742356</v>
      </c>
      <c r="I184" s="19">
        <f>$B184*'CVS Payments'!G$20</f>
        <v>2198.8425810742356</v>
      </c>
      <c r="J184" s="19">
        <f>$B184*'CVS Payments'!H$20</f>
        <v>2198.8425810742356</v>
      </c>
      <c r="K184" s="19">
        <f>$B184*'CVS Payments'!I$20</f>
        <v>2088.9876278643801</v>
      </c>
      <c r="L184" s="19">
        <f>$B184*'CVS Payments'!J$20</f>
        <v>1979.1326701446048</v>
      </c>
      <c r="M184" s="19">
        <f>$B184*'CVS Payments'!K$20</f>
        <v>1977.3892209162784</v>
      </c>
      <c r="N184" s="19">
        <f>$B184*'CVS Payments'!L$20</f>
        <v>1977.3892209162784</v>
      </c>
      <c r="O184" s="39" t="s">
        <v>346</v>
      </c>
      <c r="P184" s="7">
        <f t="shared" si="10"/>
        <v>18942.789064138484</v>
      </c>
    </row>
    <row r="185" spans="1:16" x14ac:dyDescent="0.35">
      <c r="A185" s="3" t="s">
        <v>63</v>
      </c>
      <c r="B185" s="16">
        <v>1.4878159422548442E-4</v>
      </c>
      <c r="C185" s="8" t="s">
        <v>209</v>
      </c>
      <c r="D185" s="33" t="str">
        <f t="shared" si="12"/>
        <v>No</v>
      </c>
      <c r="E185" s="74">
        <v>608.11</v>
      </c>
      <c r="F185" s="19">
        <v>443.53</v>
      </c>
      <c r="G185" s="19">
        <f>$B185*'CVS Payments'!E$20</f>
        <v>1088.4321402623589</v>
      </c>
      <c r="H185" s="19">
        <f>$B185*'CVS Payments'!F$20</f>
        <v>1088.4321402623589</v>
      </c>
      <c r="I185" s="19">
        <f>$B185*'CVS Payments'!G$20</f>
        <v>1088.4321402623589</v>
      </c>
      <c r="J185" s="19">
        <f>$B185*'CVS Payments'!H$20</f>
        <v>1088.4321402623589</v>
      </c>
      <c r="K185" s="19">
        <f>$B185*'CVS Payments'!I$20</f>
        <v>1034.053685492664</v>
      </c>
      <c r="L185" s="19">
        <f>$B185*'CVS Payments'!J$20</f>
        <v>979.67522849054853</v>
      </c>
      <c r="M185" s="19">
        <f>$B185*'CVS Payments'!K$20</f>
        <v>978.81221710839725</v>
      </c>
      <c r="N185" s="19">
        <f>$B185*'CVS Payments'!L$20</f>
        <v>978.81221710839725</v>
      </c>
      <c r="O185" s="39" t="s">
        <v>346</v>
      </c>
      <c r="P185" s="7">
        <f t="shared" si="10"/>
        <v>9376.7219092494433</v>
      </c>
    </row>
    <row r="186" spans="1:16" x14ac:dyDescent="0.35">
      <c r="A186" s="3" t="s">
        <v>168</v>
      </c>
      <c r="B186" s="16">
        <v>2.1378856446827648E-4</v>
      </c>
      <c r="C186" s="8" t="s">
        <v>210</v>
      </c>
      <c r="D186" s="33" t="str">
        <f t="shared" si="12"/>
        <v>No</v>
      </c>
      <c r="E186" s="74">
        <v>873.81</v>
      </c>
      <c r="F186" s="19">
        <v>637.33000000000004</v>
      </c>
      <c r="G186" s="19">
        <f>$B186*'CVS Payments'!E$20</f>
        <v>1563.9995390502802</v>
      </c>
      <c r="H186" s="19">
        <f>$B186*'CVS Payments'!F$20</f>
        <v>1563.9995390502802</v>
      </c>
      <c r="I186" s="19">
        <f>$B186*'CVS Payments'!G$20</f>
        <v>1563.9995390502802</v>
      </c>
      <c r="J186" s="19">
        <f>$B186*'CVS Payments'!H$20</f>
        <v>1563.9995390502802</v>
      </c>
      <c r="K186" s="19">
        <f>$B186*'CVS Payments'!I$20</f>
        <v>1485.8615688011021</v>
      </c>
      <c r="L186" s="19">
        <f>$B186*'CVS Payments'!J$20</f>
        <v>1407.7235953440945</v>
      </c>
      <c r="M186" s="19">
        <f>$B186*'CVS Payments'!K$20</f>
        <v>1406.4835093948186</v>
      </c>
      <c r="N186" s="19">
        <f>$B186*'CVS Payments'!L$20</f>
        <v>1406.4835093948186</v>
      </c>
      <c r="O186" s="39" t="s">
        <v>346</v>
      </c>
      <c r="P186" s="7">
        <f t="shared" si="10"/>
        <v>13473.690339135954</v>
      </c>
    </row>
    <row r="187" spans="1:16" x14ac:dyDescent="0.35">
      <c r="A187" s="3" t="s">
        <v>63</v>
      </c>
      <c r="B187" s="16">
        <v>9.0106553717547258E-5</v>
      </c>
      <c r="C187" s="8" t="s">
        <v>211</v>
      </c>
      <c r="D187" s="33" t="str">
        <f t="shared" si="12"/>
        <v>No</v>
      </c>
      <c r="E187" s="74">
        <v>368.29</v>
      </c>
      <c r="F187" s="19">
        <v>268.62</v>
      </c>
      <c r="G187" s="19">
        <f>$B187*'CVS Payments'!E$20</f>
        <v>659.18684112107849</v>
      </c>
      <c r="H187" s="19">
        <f>$B187*'CVS Payments'!F$20</f>
        <v>659.18684112107849</v>
      </c>
      <c r="I187" s="19">
        <f>$B187*'CVS Payments'!G$20</f>
        <v>659.18684112107849</v>
      </c>
      <c r="J187" s="19">
        <f>$B187*'CVS Payments'!H$20</f>
        <v>659.18684112107849</v>
      </c>
      <c r="K187" s="19">
        <f>$B187*'CVS Payments'!I$20</f>
        <v>626.25363334568124</v>
      </c>
      <c r="L187" s="19">
        <f>$B187*'CVS Payments'!J$20</f>
        <v>593.32042421826372</v>
      </c>
      <c r="M187" s="19">
        <f>$B187*'CVS Payments'!K$20</f>
        <v>592.79775888543486</v>
      </c>
      <c r="N187" s="19">
        <f>$B187*'CVS Payments'!L$20</f>
        <v>592.79775888543486</v>
      </c>
      <c r="O187" s="39" t="s">
        <v>346</v>
      </c>
      <c r="P187" s="7">
        <f t="shared" si="10"/>
        <v>5678.8269398191287</v>
      </c>
    </row>
    <row r="188" spans="1:16" x14ac:dyDescent="0.35">
      <c r="A188" s="3" t="s">
        <v>105</v>
      </c>
      <c r="B188" s="16">
        <v>2.1563493333176328E-4</v>
      </c>
      <c r="C188" s="8" t="s">
        <v>212</v>
      </c>
      <c r="D188" s="33" t="str">
        <f t="shared" si="12"/>
        <v>No</v>
      </c>
      <c r="E188" s="74">
        <v>881.36</v>
      </c>
      <c r="F188" s="19">
        <v>642.83000000000004</v>
      </c>
      <c r="G188" s="19">
        <f>$B188*'CVS Payments'!E$20</f>
        <v>1577.5069034810781</v>
      </c>
      <c r="H188" s="19">
        <f>$B188*'CVS Payments'!F$20</f>
        <v>1577.5069034810781</v>
      </c>
      <c r="I188" s="19">
        <f>$B188*'CVS Payments'!G$20</f>
        <v>1577.5069034810781</v>
      </c>
      <c r="J188" s="19">
        <f>$B188*'CVS Payments'!H$20</f>
        <v>1577.5069034810781</v>
      </c>
      <c r="K188" s="19">
        <f>$B188*'CVS Payments'!I$20</f>
        <v>1498.6941005265915</v>
      </c>
      <c r="L188" s="19">
        <f>$B188*'CVS Payments'!J$20</f>
        <v>1419.8812943365715</v>
      </c>
      <c r="M188" s="19">
        <f>$B188*'CVS Payments'!K$20</f>
        <v>1418.6304984782296</v>
      </c>
      <c r="N188" s="19">
        <f>$B188*'CVS Payments'!L$20</f>
        <v>1418.6304984782296</v>
      </c>
      <c r="O188" s="39" t="s">
        <v>346</v>
      </c>
      <c r="P188" s="7">
        <f t="shared" si="10"/>
        <v>13590.054005743934</v>
      </c>
    </row>
    <row r="189" spans="1:16" x14ac:dyDescent="0.35">
      <c r="A189" s="3" t="s">
        <v>105</v>
      </c>
      <c r="B189" s="16">
        <v>1.0446192327570199E-3</v>
      </c>
      <c r="C189" s="8" t="s">
        <v>213</v>
      </c>
      <c r="D189" s="33" t="str">
        <f t="shared" si="12"/>
        <v>No</v>
      </c>
      <c r="E189" s="74">
        <v>4269.6499999999996</v>
      </c>
      <c r="F189" s="19">
        <v>3114.12</v>
      </c>
      <c r="G189" s="19">
        <f>$B189*'CVS Payments'!E$20</f>
        <v>7642.0551425587091</v>
      </c>
      <c r="H189" s="19">
        <f>$B189*'CVS Payments'!F$20</f>
        <v>7642.0551425587091</v>
      </c>
      <c r="I189" s="19">
        <f>$B189*'CVS Payments'!G$20</f>
        <v>7642.0551425587091</v>
      </c>
      <c r="J189" s="19">
        <f>$B189*'CVS Payments'!H$20</f>
        <v>7642.0551425587091</v>
      </c>
      <c r="K189" s="19">
        <f>$B189*'CVS Payments'!I$20</f>
        <v>7260.2553641940476</v>
      </c>
      <c r="L189" s="19">
        <f>$B189*'CVS Payments'!J$20</f>
        <v>6878.4555701552063</v>
      </c>
      <c r="M189" s="19">
        <f>$B189*'CVS Payments'!K$20</f>
        <v>6872.3962300024368</v>
      </c>
      <c r="N189" s="19">
        <f>$B189*'CVS Payments'!L$20</f>
        <v>6872.3962300024368</v>
      </c>
      <c r="O189" s="39" t="s">
        <v>346</v>
      </c>
      <c r="P189" s="7">
        <f t="shared" si="10"/>
        <v>65835.493964588968</v>
      </c>
    </row>
    <row r="190" spans="1:16" x14ac:dyDescent="0.35">
      <c r="A190" s="3" t="s">
        <v>105</v>
      </c>
      <c r="B190" s="16">
        <v>1.9100374032320001E-2</v>
      </c>
      <c r="C190" s="8" t="s">
        <v>105</v>
      </c>
      <c r="D190" s="33" t="str">
        <f t="shared" si="12"/>
        <v>No</v>
      </c>
      <c r="E190" s="74">
        <v>78068.55</v>
      </c>
      <c r="F190" s="19">
        <v>56940.26</v>
      </c>
      <c r="G190" s="19">
        <f>$B190*'CVS Payments'!E$20</f>
        <v>139731.40357874095</v>
      </c>
      <c r="H190" s="19">
        <f>$B190*'CVS Payments'!F$20</f>
        <v>139731.40357874095</v>
      </c>
      <c r="I190" s="19">
        <f>$B190*'CVS Payments'!G$20</f>
        <v>139731.40357874095</v>
      </c>
      <c r="J190" s="19">
        <f>$B190*'CVS Payments'!H$20</f>
        <v>139731.40357874095</v>
      </c>
      <c r="K190" s="19">
        <f>$B190*'CVS Payments'!I$20</f>
        <v>132750.37322476684</v>
      </c>
      <c r="L190" s="19">
        <f>$B190*'CVS Payments'!J$20</f>
        <v>125769.34258419767</v>
      </c>
      <c r="M190" s="19">
        <f>$B190*'CVS Payments'!K$20</f>
        <v>125658.55038386503</v>
      </c>
      <c r="N190" s="19">
        <f>$B190*'CVS Payments'!L$20</f>
        <v>125658.55038386503</v>
      </c>
      <c r="O190" s="39" t="s">
        <v>346</v>
      </c>
      <c r="P190" s="7">
        <f t="shared" si="10"/>
        <v>1203771.2408916585</v>
      </c>
    </row>
    <row r="191" spans="1:16" x14ac:dyDescent="0.35">
      <c r="A191" s="3" t="s">
        <v>105</v>
      </c>
      <c r="B191" s="16">
        <v>2.9904211561436055E-4</v>
      </c>
      <c r="C191" s="8" t="s">
        <v>214</v>
      </c>
      <c r="D191" s="33" t="str">
        <f t="shared" si="12"/>
        <v>No</v>
      </c>
      <c r="E191" s="74">
        <v>1222.27</v>
      </c>
      <c r="F191" s="19">
        <v>891.48</v>
      </c>
      <c r="G191" s="19">
        <f>$B191*'CVS Payments'!E$20</f>
        <v>2187.6835748475287</v>
      </c>
      <c r="H191" s="19">
        <f>$B191*'CVS Payments'!F$20</f>
        <v>2187.6835748475287</v>
      </c>
      <c r="I191" s="19">
        <f>$B191*'CVS Payments'!G$20</f>
        <v>2187.6835748475287</v>
      </c>
      <c r="J191" s="19">
        <f>$B191*'CVS Payments'!H$20</f>
        <v>2187.6835748475287</v>
      </c>
      <c r="K191" s="19">
        <f>$B191*'CVS Payments'!I$20</f>
        <v>2078.3861295363536</v>
      </c>
      <c r="L191" s="19">
        <f>$B191*'CVS Payments'!J$20</f>
        <v>1969.0886797381461</v>
      </c>
      <c r="M191" s="19">
        <f>$B191*'CVS Payments'!K$20</f>
        <v>1967.3540784196075</v>
      </c>
      <c r="N191" s="19">
        <f>$B191*'CVS Payments'!L$20</f>
        <v>1967.3540784196075</v>
      </c>
      <c r="O191" s="39" t="s">
        <v>346</v>
      </c>
      <c r="P191" s="7">
        <f t="shared" si="10"/>
        <v>18846.667265503831</v>
      </c>
    </row>
    <row r="192" spans="1:16" x14ac:dyDescent="0.35">
      <c r="A192" s="3" t="s">
        <v>75</v>
      </c>
      <c r="B192" s="16">
        <v>2.8708523658912223E-4</v>
      </c>
      <c r="C192" s="8" t="s">
        <v>215</v>
      </c>
      <c r="D192" s="33" t="str">
        <f t="shared" si="12"/>
        <v>No</v>
      </c>
      <c r="E192" s="74">
        <v>1173.4000000000001</v>
      </c>
      <c r="F192" s="19">
        <v>855.83</v>
      </c>
      <c r="G192" s="19">
        <f>$B192*'CVS Payments'!E$20</f>
        <v>2100.2113878740874</v>
      </c>
      <c r="H192" s="19">
        <f>$B192*'CVS Payments'!F$20</f>
        <v>2100.2113878740874</v>
      </c>
      <c r="I192" s="19">
        <f>$B192*'CVS Payments'!G$20</f>
        <v>2100.2113878740874</v>
      </c>
      <c r="J192" s="19">
        <f>$B192*'CVS Payments'!H$20</f>
        <v>2100.2113878740874</v>
      </c>
      <c r="K192" s="19">
        <f>$B192*'CVS Payments'!I$20</f>
        <v>1995.2840839681403</v>
      </c>
      <c r="L192" s="19">
        <f>$B192*'CVS Payments'!J$20</f>
        <v>1890.35677575457</v>
      </c>
      <c r="M192" s="19">
        <f>$B192*'CVS Payments'!K$20</f>
        <v>1888.6915306137732</v>
      </c>
      <c r="N192" s="19">
        <f>$B192*'CVS Payments'!L$20</f>
        <v>1888.6915306137732</v>
      </c>
      <c r="O192" s="39" t="s">
        <v>346</v>
      </c>
      <c r="P192" s="7">
        <f t="shared" si="10"/>
        <v>18093.099472446607</v>
      </c>
    </row>
    <row r="193" spans="1:16" x14ac:dyDescent="0.35">
      <c r="A193" s="3" t="s">
        <v>216</v>
      </c>
      <c r="B193" s="16">
        <v>5.2318127209600006E-3</v>
      </c>
      <c r="C193" s="8" t="s">
        <v>216</v>
      </c>
      <c r="D193" s="33" t="str">
        <f t="shared" si="12"/>
        <v>No</v>
      </c>
      <c r="E193" s="74">
        <v>21383.88</v>
      </c>
      <c r="F193" s="19">
        <v>15596.59</v>
      </c>
      <c r="G193" s="19">
        <f>$B193*'CVS Payments'!E$20</f>
        <v>38274.042881245972</v>
      </c>
      <c r="H193" s="19">
        <f>$B193*'CVS Payments'!F$20</f>
        <v>38274.042881245972</v>
      </c>
      <c r="I193" s="19">
        <f>$B193*'CVS Payments'!G$20</f>
        <v>38274.042881245972</v>
      </c>
      <c r="J193" s="19">
        <f>$B193*'CVS Payments'!H$20</f>
        <v>38274.042881245972</v>
      </c>
      <c r="K193" s="19">
        <f>$B193*'CVS Payments'!I$20</f>
        <v>36361.858159128598</v>
      </c>
      <c r="L193" s="19">
        <f>$B193*'CVS Payments'!J$20</f>
        <v>34449.673358509535</v>
      </c>
      <c r="M193" s="19">
        <f>$B193*'CVS Payments'!K$20</f>
        <v>34419.3260971364</v>
      </c>
      <c r="N193" s="19">
        <f>$B193*'CVS Payments'!L$20</f>
        <v>34419.3260971364</v>
      </c>
      <c r="O193" s="39" t="s">
        <v>346</v>
      </c>
      <c r="P193" s="7">
        <f t="shared" si="10"/>
        <v>329726.82523689483</v>
      </c>
    </row>
    <row r="194" spans="1:16" x14ac:dyDescent="0.35">
      <c r="A194" s="3" t="s">
        <v>217</v>
      </c>
      <c r="B194" s="16">
        <v>3.4855560519191808E-4</v>
      </c>
      <c r="C194" s="8" t="s">
        <v>218</v>
      </c>
      <c r="D194" s="33" t="str">
        <f t="shared" si="12"/>
        <v>No</v>
      </c>
      <c r="E194" s="74">
        <v>1424.64</v>
      </c>
      <c r="F194" s="19">
        <v>1039.08</v>
      </c>
      <c r="G194" s="19">
        <f>$B194*'CVS Payments'!E$20</f>
        <v>2549.906292740196</v>
      </c>
      <c r="H194" s="19">
        <f>$B194*'CVS Payments'!F$20</f>
        <v>2549.906292740196</v>
      </c>
      <c r="I194" s="19">
        <f>$B194*'CVS Payments'!G$20</f>
        <v>2549.906292740196</v>
      </c>
      <c r="J194" s="19">
        <f>$B194*'CVS Payments'!H$20</f>
        <v>2549.906292740196</v>
      </c>
      <c r="K194" s="19">
        <f>$B194*'CVS Payments'!I$20</f>
        <v>2422.5120723037157</v>
      </c>
      <c r="L194" s="19">
        <f>$B194*'CVS Payments'!J$20</f>
        <v>2295.1178466372689</v>
      </c>
      <c r="M194" s="19">
        <f>$B194*'CVS Payments'!K$20</f>
        <v>2293.0960410761768</v>
      </c>
      <c r="N194" s="19">
        <f>$B194*'CVS Payments'!L$20</f>
        <v>2293.0960410761768</v>
      </c>
      <c r="O194" s="39" t="s">
        <v>346</v>
      </c>
      <c r="P194" s="7">
        <f t="shared" si="10"/>
        <v>21967.16717205412</v>
      </c>
    </row>
    <row r="195" spans="1:16" x14ac:dyDescent="0.35">
      <c r="A195" s="3" t="s">
        <v>47</v>
      </c>
      <c r="B195" s="16">
        <v>1.2868028544570567E-4</v>
      </c>
      <c r="C195" s="8" t="s">
        <v>219</v>
      </c>
      <c r="D195" s="33" t="str">
        <f t="shared" si="12"/>
        <v>No</v>
      </c>
      <c r="E195" s="74">
        <v>0</v>
      </c>
      <c r="F195" s="19">
        <v>0</v>
      </c>
      <c r="G195" s="19">
        <f>$B195*'CVS Payments'!E$20</f>
        <v>941.3782613793918</v>
      </c>
      <c r="H195" s="19">
        <f>$B195*'CVS Payments'!F$20</f>
        <v>941.3782613793918</v>
      </c>
      <c r="I195" s="19">
        <f>$B195*'CVS Payments'!G$20</f>
        <v>941.3782613793918</v>
      </c>
      <c r="J195" s="19">
        <f>$B195*'CVS Payments'!H$20</f>
        <v>941.3782613793918</v>
      </c>
      <c r="K195" s="19">
        <f>$B195*'CVS Payments'!I$20</f>
        <v>894.34667042025853</v>
      </c>
      <c r="L195" s="19">
        <f>$B195*'CVS Payments'!J$20</f>
        <v>847.31507753031838</v>
      </c>
      <c r="M195" s="19">
        <f>$B195*'CVS Payments'!K$20</f>
        <v>846.56866429569595</v>
      </c>
      <c r="N195" s="19">
        <f>$B195*'CVS Payments'!L$20</f>
        <v>846.56866429569595</v>
      </c>
      <c r="O195" s="39" t="s">
        <v>346</v>
      </c>
      <c r="P195" s="7">
        <f t="shared" si="10"/>
        <v>7200.3121220595367</v>
      </c>
    </row>
    <row r="196" spans="1:16" x14ac:dyDescent="0.35">
      <c r="A196" s="3" t="s">
        <v>22</v>
      </c>
      <c r="B196" s="16">
        <v>9.3741051152000014E-4</v>
      </c>
      <c r="C196" s="8" t="s">
        <v>220</v>
      </c>
      <c r="D196" s="33" t="str">
        <f t="shared" si="12"/>
        <v>No</v>
      </c>
      <c r="E196" s="74">
        <v>3831.46</v>
      </c>
      <c r="F196" s="19">
        <v>2794.52</v>
      </c>
      <c r="G196" s="19">
        <f>$B196*'CVS Payments'!E$20</f>
        <v>6857.7550514200666</v>
      </c>
      <c r="H196" s="19">
        <f>$B196*'CVS Payments'!F$20</f>
        <v>6857.7550514200666</v>
      </c>
      <c r="I196" s="19">
        <f>$B196*'CVS Payments'!G$20</f>
        <v>6857.7550514200666</v>
      </c>
      <c r="J196" s="19">
        <f>$B196*'CVS Payments'!H$20</f>
        <v>6857.7550514200666</v>
      </c>
      <c r="K196" s="19">
        <f>$B196*'CVS Payments'!I$20</f>
        <v>6515.139183061563</v>
      </c>
      <c r="L196" s="19">
        <f>$B196*'CVS Payments'!J$20</f>
        <v>6172.523300637512</v>
      </c>
      <c r="M196" s="19">
        <f>$B196*'CVS Payments'!K$20</f>
        <v>6167.0858273707317</v>
      </c>
      <c r="N196" s="19">
        <f>$B196*'CVS Payments'!L$20</f>
        <v>6167.0858273707317</v>
      </c>
      <c r="O196" s="39" t="s">
        <v>346</v>
      </c>
      <c r="P196" s="7">
        <f t="shared" ref="P196:P259" si="13">SUM(E196:O196)</f>
        <v>59078.834344120805</v>
      </c>
    </row>
    <row r="197" spans="1:16" x14ac:dyDescent="0.35">
      <c r="A197" s="3" t="s">
        <v>105</v>
      </c>
      <c r="B197" s="16">
        <v>4.1937412125987635E-4</v>
      </c>
      <c r="C197" s="8" t="s">
        <v>221</v>
      </c>
      <c r="D197" s="33" t="str">
        <f t="shared" si="12"/>
        <v>No</v>
      </c>
      <c r="E197" s="74">
        <v>1714.1</v>
      </c>
      <c r="F197" s="19">
        <v>1250.2</v>
      </c>
      <c r="G197" s="19">
        <f>$B197*'CVS Payments'!E$20</f>
        <v>3067.98885137465</v>
      </c>
      <c r="H197" s="19">
        <f>$B197*'CVS Payments'!F$20</f>
        <v>3067.98885137465</v>
      </c>
      <c r="I197" s="19">
        <f>$B197*'CVS Payments'!G$20</f>
        <v>3067.98885137465</v>
      </c>
      <c r="J197" s="19">
        <f>$B197*'CVS Payments'!H$20</f>
        <v>3067.98885137465</v>
      </c>
      <c r="K197" s="19">
        <f>$B197*'CVS Payments'!I$20</f>
        <v>2914.711043032652</v>
      </c>
      <c r="L197" s="19">
        <f>$B197*'CVS Payments'!J$20</f>
        <v>2761.4332283980784</v>
      </c>
      <c r="M197" s="19">
        <f>$B197*'CVS Payments'!K$20</f>
        <v>2759.0006382520255</v>
      </c>
      <c r="N197" s="19">
        <f>$B197*'CVS Payments'!L$20</f>
        <v>2759.0006382520255</v>
      </c>
      <c r="O197" s="39" t="s">
        <v>346</v>
      </c>
      <c r="P197" s="7">
        <f t="shared" si="13"/>
        <v>26430.400953433382</v>
      </c>
    </row>
    <row r="198" spans="1:16" x14ac:dyDescent="0.35">
      <c r="A198" s="3" t="s">
        <v>34</v>
      </c>
      <c r="B198" s="16">
        <v>8.7589028181219765E-4</v>
      </c>
      <c r="C198" s="8" t="s">
        <v>222</v>
      </c>
      <c r="D198" s="33" t="str">
        <f t="shared" si="12"/>
        <v>No</v>
      </c>
      <c r="E198" s="74">
        <v>3580.01</v>
      </c>
      <c r="F198" s="19">
        <v>2611.12</v>
      </c>
      <c r="G198" s="19">
        <f>$B198*'CVS Payments'!E$20</f>
        <v>6407.6953808077596</v>
      </c>
      <c r="H198" s="19">
        <f>$B198*'CVS Payments'!F$20</f>
        <v>6407.6953808077596</v>
      </c>
      <c r="I198" s="19">
        <f>$B198*'CVS Payments'!G$20</f>
        <v>6407.6953808077596</v>
      </c>
      <c r="J198" s="19">
        <f>$B198*'CVS Payments'!H$20</f>
        <v>6407.6953808077596</v>
      </c>
      <c r="K198" s="19">
        <f>$B198*'CVS Payments'!I$20</f>
        <v>6087.5646528055076</v>
      </c>
      <c r="L198" s="19">
        <f>$B198*'CVS Payments'!J$20</f>
        <v>5767.4339116608007</v>
      </c>
      <c r="M198" s="19">
        <f>$B198*'CVS Payments'!K$20</f>
        <v>5762.3532880349103</v>
      </c>
      <c r="N198" s="19">
        <f>$B198*'CVS Payments'!L$20</f>
        <v>5762.3532880349103</v>
      </c>
      <c r="O198" s="39" t="s">
        <v>346</v>
      </c>
      <c r="P198" s="7">
        <f t="shared" si="13"/>
        <v>55201.61666376717</v>
      </c>
    </row>
    <row r="199" spans="1:16" x14ac:dyDescent="0.35">
      <c r="A199" s="3" t="s">
        <v>34</v>
      </c>
      <c r="B199" s="16">
        <v>6.2011746176264277E-4</v>
      </c>
      <c r="C199" s="8" t="s">
        <v>223</v>
      </c>
      <c r="D199" s="33" t="str">
        <f t="shared" si="12"/>
        <v>No</v>
      </c>
      <c r="E199" s="74">
        <v>2534.59</v>
      </c>
      <c r="F199" s="19">
        <v>1848.64</v>
      </c>
      <c r="G199" s="19">
        <f>$B199*'CVS Payments'!E$20</f>
        <v>4536.5542669038241</v>
      </c>
      <c r="H199" s="19">
        <f>$B199*'CVS Payments'!F$20</f>
        <v>4536.5542669038241</v>
      </c>
      <c r="I199" s="19">
        <f>$B199*'CVS Payments'!G$20</f>
        <v>4536.5542669038241</v>
      </c>
      <c r="J199" s="19">
        <f>$B199*'CVS Payments'!H$20</f>
        <v>4536.5542669038241</v>
      </c>
      <c r="K199" s="19">
        <f>$B199*'CVS Payments'!I$20</f>
        <v>4309.9064108844013</v>
      </c>
      <c r="L199" s="19">
        <f>$B199*'CVS Payments'!J$20</f>
        <v>4083.2585455603121</v>
      </c>
      <c r="M199" s="19">
        <f>$B199*'CVS Payments'!K$20</f>
        <v>4079.6615386149442</v>
      </c>
      <c r="N199" s="19">
        <f>$B199*'CVS Payments'!L$20</f>
        <v>4079.6615386149442</v>
      </c>
      <c r="O199" s="39" t="s">
        <v>346</v>
      </c>
      <c r="P199" s="7">
        <f t="shared" si="13"/>
        <v>39081.935101289899</v>
      </c>
    </row>
    <row r="200" spans="1:16" x14ac:dyDescent="0.35">
      <c r="A200" s="3" t="s">
        <v>34</v>
      </c>
      <c r="B200" s="16">
        <v>1.6393846172607529E-4</v>
      </c>
      <c r="C200" s="8" t="s">
        <v>224</v>
      </c>
      <c r="D200" s="33" t="str">
        <f t="shared" si="12"/>
        <v>No</v>
      </c>
      <c r="E200" s="74">
        <v>670.06</v>
      </c>
      <c r="F200" s="19">
        <v>488.72</v>
      </c>
      <c r="G200" s="19">
        <f>$B200*'CVS Payments'!E$20</f>
        <v>1199.3142814251892</v>
      </c>
      <c r="H200" s="19">
        <f>$B200*'CVS Payments'!F$20</f>
        <v>1199.3142814251892</v>
      </c>
      <c r="I200" s="19">
        <f>$B200*'CVS Payments'!G$20</f>
        <v>1199.3142814251892</v>
      </c>
      <c r="J200" s="19">
        <f>$B200*'CVS Payments'!H$20</f>
        <v>1199.3142814251892</v>
      </c>
      <c r="K200" s="19">
        <f>$B200*'CVS Payments'!I$20</f>
        <v>1139.3961156574926</v>
      </c>
      <c r="L200" s="19">
        <f>$B200*'CVS Payments'!J$20</f>
        <v>1079.4779474299514</v>
      </c>
      <c r="M200" s="19">
        <f>$B200*'CVS Payments'!K$20</f>
        <v>1078.5270182563634</v>
      </c>
      <c r="N200" s="19">
        <f>$B200*'CVS Payments'!L$20</f>
        <v>1078.5270182563634</v>
      </c>
      <c r="O200" s="39" t="s">
        <v>346</v>
      </c>
      <c r="P200" s="7">
        <f t="shared" si="13"/>
        <v>10331.965225300928</v>
      </c>
    </row>
    <row r="201" spans="1:16" x14ac:dyDescent="0.35">
      <c r="A201" s="3" t="s">
        <v>34</v>
      </c>
      <c r="B201" s="16">
        <v>5.8535727113920008E-2</v>
      </c>
      <c r="C201" s="8" t="s">
        <v>34</v>
      </c>
      <c r="D201" s="33" t="str">
        <f t="shared" si="12"/>
        <v>No</v>
      </c>
      <c r="E201" s="74">
        <v>240064.61</v>
      </c>
      <c r="F201" s="19">
        <v>175094.08</v>
      </c>
      <c r="G201" s="19">
        <f>$B201*'CVS Payments'!E$20</f>
        <v>428226.13291707996</v>
      </c>
      <c r="H201" s="19">
        <f>$B201*'CVS Payments'!F$20</f>
        <v>428226.13291707996</v>
      </c>
      <c r="I201" s="19">
        <f>$B201*'CVS Payments'!G$20</f>
        <v>428226.13291707996</v>
      </c>
      <c r="J201" s="19">
        <f>$B201*'CVS Payments'!H$20</f>
        <v>428226.13291707996</v>
      </c>
      <c r="K201" s="19">
        <f>$B201*'CVS Payments'!I$20</f>
        <v>406831.80382788216</v>
      </c>
      <c r="L201" s="19">
        <f>$B201*'CVS Payments'!J$20</f>
        <v>385437.47386037436</v>
      </c>
      <c r="M201" s="19">
        <f>$B201*'CVS Payments'!K$20</f>
        <v>385097.93590190046</v>
      </c>
      <c r="N201" s="19">
        <f>$B201*'CVS Payments'!L$20</f>
        <v>385097.93590190046</v>
      </c>
      <c r="O201" s="39" t="s">
        <v>346</v>
      </c>
      <c r="P201" s="7">
        <f t="shared" si="13"/>
        <v>3690528.3711603768</v>
      </c>
    </row>
    <row r="202" spans="1:16" x14ac:dyDescent="0.35">
      <c r="A202" s="3" t="s">
        <v>225</v>
      </c>
      <c r="B202" s="16">
        <v>2.4376421473599999E-3</v>
      </c>
      <c r="C202" s="8" t="s">
        <v>225</v>
      </c>
      <c r="D202" s="33" t="str">
        <f t="shared" si="12"/>
        <v>No</v>
      </c>
      <c r="E202" s="74">
        <v>9963.32</v>
      </c>
      <c r="F202" s="19">
        <v>7266.87</v>
      </c>
      <c r="G202" s="19">
        <f>$B202*'CVS Payments'!E$20</f>
        <v>17832.905161802035</v>
      </c>
      <c r="H202" s="19">
        <f>$B202*'CVS Payments'!F$20</f>
        <v>17832.905161802035</v>
      </c>
      <c r="I202" s="19">
        <f>$B202*'CVS Payments'!G$20</f>
        <v>17832.905161802035</v>
      </c>
      <c r="J202" s="19">
        <f>$B202*'CVS Payments'!H$20</f>
        <v>17832.905161802035</v>
      </c>
      <c r="K202" s="19">
        <f>$B202*'CVS Payments'!I$20</f>
        <v>16941.966911375541</v>
      </c>
      <c r="L202" s="19">
        <f>$B202*'CVS Payments'!J$20</f>
        <v>16051.028624373001</v>
      </c>
      <c r="M202" s="19">
        <f>$B202*'CVS Payments'!K$20</f>
        <v>16036.889019741562</v>
      </c>
      <c r="N202" s="19">
        <f>$B202*'CVS Payments'!L$20</f>
        <v>16036.889019741562</v>
      </c>
      <c r="O202" s="39" t="s">
        <v>346</v>
      </c>
      <c r="P202" s="7">
        <f t="shared" si="13"/>
        <v>153628.58422243979</v>
      </c>
    </row>
    <row r="203" spans="1:16" x14ac:dyDescent="0.35">
      <c r="A203" s="3" t="s">
        <v>60</v>
      </c>
      <c r="B203" s="16">
        <v>2.1604790854926307E-6</v>
      </c>
      <c r="C203" s="8" t="s">
        <v>226</v>
      </c>
      <c r="D203" s="33" t="str">
        <f t="shared" si="12"/>
        <v>Yes</v>
      </c>
      <c r="E203" s="74">
        <v>144.13</v>
      </c>
      <c r="F203" s="19">
        <v>0</v>
      </c>
      <c r="G203" s="52">
        <f>$B203*'CVS Payments'!E$20</f>
        <v>15.80528080275147</v>
      </c>
      <c r="H203" s="52">
        <f>$B203*'CVS Payments'!F$20</f>
        <v>15.80528080275147</v>
      </c>
      <c r="I203" s="52">
        <f>$B203*'CVS Payments'!G$20</f>
        <v>15.80528080275147</v>
      </c>
      <c r="J203" s="52">
        <f>$B203*'CVS Payments'!H$20</f>
        <v>15.80528080275147</v>
      </c>
      <c r="K203" s="52">
        <f>$B203*'CVS Payments'!I$20</f>
        <v>15.015643382592616</v>
      </c>
      <c r="L203" s="52">
        <f>$B203*'CVS Payments'!J$20</f>
        <v>14.226005930016461</v>
      </c>
      <c r="M203" s="52">
        <f>$B203*'CVS Payments'!K$20</f>
        <v>14.213474016701605</v>
      </c>
      <c r="N203" s="52">
        <f>$B203*'CVS Payments'!L$20</f>
        <v>14.213474016701605</v>
      </c>
      <c r="O203" s="39" t="s">
        <v>346</v>
      </c>
      <c r="P203" s="7">
        <f>E204</f>
        <v>25468.87</v>
      </c>
    </row>
    <row r="204" spans="1:16" x14ac:dyDescent="0.35">
      <c r="A204" s="3" t="s">
        <v>227</v>
      </c>
      <c r="B204" s="16">
        <v>6.2312530156800007E-3</v>
      </c>
      <c r="C204" s="8" t="s">
        <v>227</v>
      </c>
      <c r="D204" s="33" t="str">
        <f t="shared" si="12"/>
        <v>No</v>
      </c>
      <c r="E204" s="74">
        <v>25468.87</v>
      </c>
      <c r="F204" s="19">
        <v>18576.03</v>
      </c>
      <c r="G204" s="19">
        <f>$B204*'CVS Payments'!E$20</f>
        <v>45585.58531167519</v>
      </c>
      <c r="H204" s="19">
        <f>$B204*'CVS Payments'!F$20</f>
        <v>45585.58531167519</v>
      </c>
      <c r="I204" s="19">
        <f>$B204*'CVS Payments'!G$20</f>
        <v>45585.58531167519</v>
      </c>
      <c r="J204" s="19">
        <f>$B204*'CVS Payments'!H$20</f>
        <v>45585.58531167519</v>
      </c>
      <c r="K204" s="19">
        <f>$B204*'CVS Payments'!I$20</f>
        <v>43308.113343212848</v>
      </c>
      <c r="L204" s="19">
        <f>$B204*'CVS Payments'!J$20</f>
        <v>41030.64128125253</v>
      </c>
      <c r="M204" s="19">
        <f>$B204*'CVS Payments'!K$20</f>
        <v>40994.496741293871</v>
      </c>
      <c r="N204" s="19">
        <f>$B204*'CVS Payments'!L$20</f>
        <v>40994.496741293871</v>
      </c>
      <c r="O204" s="39" t="s">
        <v>346</v>
      </c>
      <c r="P204" s="7">
        <f t="shared" si="13"/>
        <v>392714.98935375386</v>
      </c>
    </row>
    <row r="205" spans="1:16" x14ac:dyDescent="0.35">
      <c r="A205" s="3" t="s">
        <v>228</v>
      </c>
      <c r="B205" s="16">
        <v>5.6487088447999996E-4</v>
      </c>
      <c r="C205" s="8" t="s">
        <v>228</v>
      </c>
      <c r="D205" s="33" t="str">
        <f t="shared" si="12"/>
        <v>No</v>
      </c>
      <c r="E205" s="74">
        <v>2308.7800000000002</v>
      </c>
      <c r="F205" s="19">
        <v>1683.94</v>
      </c>
      <c r="G205" s="19">
        <f>$B205*'CVS Payments'!E$20</f>
        <v>4132.3903602932787</v>
      </c>
      <c r="H205" s="19">
        <f>$B205*'CVS Payments'!F$20</f>
        <v>4132.3903602932787</v>
      </c>
      <c r="I205" s="19">
        <f>$B205*'CVS Payments'!G$20</f>
        <v>4132.3903602932787</v>
      </c>
      <c r="J205" s="19">
        <f>$B205*'CVS Payments'!H$20</f>
        <v>4132.3903602932787</v>
      </c>
      <c r="K205" s="19">
        <f>$B205*'CVS Payments'!I$20</f>
        <v>3925.9346760245603</v>
      </c>
      <c r="L205" s="19">
        <f>$B205*'CVS Payments'!J$20</f>
        <v>3719.4789832801334</v>
      </c>
      <c r="M205" s="19">
        <f>$B205*'CVS Payments'!K$20</f>
        <v>3716.2024354968553</v>
      </c>
      <c r="N205" s="19">
        <f>$B205*'CVS Payments'!L$20</f>
        <v>3716.2024354968553</v>
      </c>
      <c r="O205" s="39" t="s">
        <v>346</v>
      </c>
      <c r="P205" s="7">
        <f t="shared" si="13"/>
        <v>35600.099971471522</v>
      </c>
    </row>
    <row r="206" spans="1:16" x14ac:dyDescent="0.35">
      <c r="A206" s="3" t="s">
        <v>34</v>
      </c>
      <c r="B206" s="16">
        <v>2.8958027866277504E-4</v>
      </c>
      <c r="C206" s="8" t="s">
        <v>229</v>
      </c>
      <c r="D206" s="33" t="str">
        <f t="shared" si="12"/>
        <v>No</v>
      </c>
      <c r="E206" s="74">
        <v>1183.5999999999999</v>
      </c>
      <c r="F206" s="19">
        <v>863.27</v>
      </c>
      <c r="G206" s="19">
        <f>$B206*'CVS Payments'!E$20</f>
        <v>2118.46421006226</v>
      </c>
      <c r="H206" s="19">
        <f>$B206*'CVS Payments'!F$20</f>
        <v>2118.46421006226</v>
      </c>
      <c r="I206" s="19">
        <f>$B206*'CVS Payments'!G$20</f>
        <v>2118.46421006226</v>
      </c>
      <c r="J206" s="19">
        <f>$B206*'CVS Payments'!H$20</f>
        <v>2118.46421006226</v>
      </c>
      <c r="K206" s="19">
        <f>$B206*'CVS Payments'!I$20</f>
        <v>2012.6249887026993</v>
      </c>
      <c r="L206" s="19">
        <f>$B206*'CVS Payments'!J$20</f>
        <v>1906.7857629980786</v>
      </c>
      <c r="M206" s="19">
        <f>$B206*'CVS Payments'!K$20</f>
        <v>1905.1060453029331</v>
      </c>
      <c r="N206" s="19">
        <f>$B206*'CVS Payments'!L$20</f>
        <v>1905.1060453029331</v>
      </c>
      <c r="O206" s="39" t="s">
        <v>346</v>
      </c>
      <c r="P206" s="7">
        <f t="shared" si="13"/>
        <v>18250.349682555687</v>
      </c>
    </row>
    <row r="207" spans="1:16" x14ac:dyDescent="0.35">
      <c r="A207" s="3" t="s">
        <v>230</v>
      </c>
      <c r="B207" s="16">
        <v>2.1551218640000003E-3</v>
      </c>
      <c r="C207" s="8" t="s">
        <v>230</v>
      </c>
      <c r="D207" s="33" t="str">
        <f t="shared" si="12"/>
        <v>No</v>
      </c>
      <c r="E207" s="74">
        <v>8808.58</v>
      </c>
      <c r="F207" s="19">
        <v>6424.65</v>
      </c>
      <c r="G207" s="19">
        <f>$B207*'CVS Payments'!E$20</f>
        <v>15766.089314816167</v>
      </c>
      <c r="H207" s="19">
        <f>$B207*'CVS Payments'!F$20</f>
        <v>15766.089314816167</v>
      </c>
      <c r="I207" s="19">
        <f>$B207*'CVS Payments'!G$20</f>
        <v>15766.089314816167</v>
      </c>
      <c r="J207" s="19">
        <f>$B207*'CVS Payments'!H$20</f>
        <v>15766.089314816167</v>
      </c>
      <c r="K207" s="19">
        <f>$B207*'CVS Payments'!I$20</f>
        <v>14978.409915258886</v>
      </c>
      <c r="L207" s="19">
        <f>$B207*'CVS Payments'!J$20</f>
        <v>14190.730483364685</v>
      </c>
      <c r="M207" s="19">
        <f>$B207*'CVS Payments'!K$20</f>
        <v>14178.229644747938</v>
      </c>
      <c r="N207" s="19">
        <f>$B207*'CVS Payments'!L$20</f>
        <v>14178.229644747938</v>
      </c>
      <c r="O207" s="39" t="s">
        <v>346</v>
      </c>
      <c r="P207" s="7">
        <f t="shared" si="13"/>
        <v>135823.18694738415</v>
      </c>
    </row>
    <row r="208" spans="1:16" x14ac:dyDescent="0.35">
      <c r="A208" s="3" t="s">
        <v>231</v>
      </c>
      <c r="B208" s="16">
        <v>5.8661152369835065E-4</v>
      </c>
      <c r="C208" s="8" t="s">
        <v>231</v>
      </c>
      <c r="D208" s="33" t="str">
        <f t="shared" si="12"/>
        <v>No</v>
      </c>
      <c r="E208" s="74">
        <v>2397.64</v>
      </c>
      <c r="F208" s="19">
        <v>1748.75</v>
      </c>
      <c r="G208" s="19">
        <f>$B208*'CVS Payments'!E$20</f>
        <v>4291.4369856388757</v>
      </c>
      <c r="H208" s="19">
        <f>$B208*'CVS Payments'!F$20</f>
        <v>4291.4369856388757</v>
      </c>
      <c r="I208" s="19">
        <f>$B208*'CVS Payments'!G$20</f>
        <v>4291.4369856388757</v>
      </c>
      <c r="J208" s="19">
        <f>$B208*'CVS Payments'!H$20</f>
        <v>4291.4369856388757</v>
      </c>
      <c r="K208" s="19">
        <f>$B208*'CVS Payments'!I$20</f>
        <v>4077.0352757037858</v>
      </c>
      <c r="L208" s="19">
        <f>$B208*'CVS Payments'!J$20</f>
        <v>3862.6335569667763</v>
      </c>
      <c r="M208" s="19">
        <f>$B208*'CVS Payments'!K$20</f>
        <v>3859.230902058498</v>
      </c>
      <c r="N208" s="19">
        <f>$B208*'CVS Payments'!L$20</f>
        <v>3859.230902058498</v>
      </c>
      <c r="O208" s="39" t="s">
        <v>346</v>
      </c>
      <c r="P208" s="7">
        <f t="shared" si="13"/>
        <v>36970.268579343057</v>
      </c>
    </row>
    <row r="209" spans="1:16" x14ac:dyDescent="0.35">
      <c r="A209" s="3" t="s">
        <v>83</v>
      </c>
      <c r="B209" s="16">
        <v>7.4328491705644338E-5</v>
      </c>
      <c r="C209" s="8" t="s">
        <v>232</v>
      </c>
      <c r="D209" s="33" t="str">
        <f t="shared" si="12"/>
        <v>Yes</v>
      </c>
      <c r="E209" s="74">
        <v>4958.57</v>
      </c>
      <c r="F209" s="19">
        <v>0</v>
      </c>
      <c r="G209" s="52">
        <f>$B209*'CVS Payments'!E$20</f>
        <v>543.76026638777637</v>
      </c>
      <c r="H209" s="52">
        <f>$B209*'CVS Payments'!F$20</f>
        <v>543.76026638777637</v>
      </c>
      <c r="I209" s="52">
        <f>$B209*'CVS Payments'!G$20</f>
        <v>543.76026638777637</v>
      </c>
      <c r="J209" s="52">
        <f>$B209*'CVS Payments'!H$20</f>
        <v>543.76026638777637</v>
      </c>
      <c r="K209" s="52">
        <f>$B209*'CVS Payments'!I$20</f>
        <v>516.59381111919379</v>
      </c>
      <c r="L209" s="52">
        <f>$B209*'CVS Payments'!J$20</f>
        <v>489.42735473533583</v>
      </c>
      <c r="M209" s="52">
        <f>$B209*'CVS Payments'!K$20</f>
        <v>488.99621044834231</v>
      </c>
      <c r="N209" s="52">
        <f>$B209*'CVS Payments'!L$20</f>
        <v>488.99621044834231</v>
      </c>
      <c r="O209" s="39" t="s">
        <v>346</v>
      </c>
      <c r="P209" s="7">
        <f>E210</f>
        <v>12994.3</v>
      </c>
    </row>
    <row r="210" spans="1:16" x14ac:dyDescent="0.35">
      <c r="A210" s="3" t="s">
        <v>233</v>
      </c>
      <c r="B210" s="16">
        <v>3.1792059880000004E-3</v>
      </c>
      <c r="C210" s="8" t="s">
        <v>233</v>
      </c>
      <c r="D210" s="33" t="str">
        <f t="shared" si="12"/>
        <v>No</v>
      </c>
      <c r="E210" s="74">
        <v>12994.3</v>
      </c>
      <c r="F210" s="19">
        <v>9477.5499999999993</v>
      </c>
      <c r="G210" s="19">
        <f>$B210*'CVS Payments'!E$20</f>
        <v>23257.917055314312</v>
      </c>
      <c r="H210" s="19">
        <f>$B210*'CVS Payments'!F$20</f>
        <v>23257.917055314312</v>
      </c>
      <c r="I210" s="19">
        <f>$B210*'CVS Payments'!G$20</f>
        <v>23257.917055314312</v>
      </c>
      <c r="J210" s="19">
        <f>$B210*'CVS Payments'!H$20</f>
        <v>23257.917055314312</v>
      </c>
      <c r="K210" s="19">
        <f>$B210*'CVS Payments'!I$20</f>
        <v>22095.943291543546</v>
      </c>
      <c r="L210" s="19">
        <f>$B210*'CVS Payments'!J$20</f>
        <v>20933.969480069802</v>
      </c>
      <c r="M210" s="19">
        <f>$B210*'CVS Payments'!K$20</f>
        <v>20915.528415715504</v>
      </c>
      <c r="N210" s="19">
        <f>$B210*'CVS Payments'!L$20</f>
        <v>20915.528415715504</v>
      </c>
      <c r="O210" s="39" t="s">
        <v>346</v>
      </c>
      <c r="P210" s="7">
        <f t="shared" si="13"/>
        <v>200364.48782430158</v>
      </c>
    </row>
    <row r="211" spans="1:16" x14ac:dyDescent="0.35">
      <c r="A211" s="3" t="s">
        <v>24</v>
      </c>
      <c r="B211" s="16">
        <v>8.8613450937211676E-3</v>
      </c>
      <c r="C211" s="8" t="s">
        <v>24</v>
      </c>
      <c r="D211" s="33" t="str">
        <f t="shared" si="12"/>
        <v>No</v>
      </c>
      <c r="E211" s="74">
        <v>39319.21</v>
      </c>
      <c r="F211" s="19">
        <v>26416.62</v>
      </c>
      <c r="G211" s="19">
        <f>$B211*'CVS Payments'!E$20</f>
        <v>64826.384313001407</v>
      </c>
      <c r="H211" s="19">
        <f>$B211*'CVS Payments'!F$20</f>
        <v>64826.384313001407</v>
      </c>
      <c r="I211" s="19">
        <f>$B211*'CVS Payments'!G$20</f>
        <v>64826.384313001407</v>
      </c>
      <c r="J211" s="19">
        <f>$B211*'CVS Payments'!H$20</f>
        <v>64826.384313001407</v>
      </c>
      <c r="K211" s="19">
        <f>$B211*'CVS Payments'!I$20</f>
        <v>61587.635219835436</v>
      </c>
      <c r="L211" s="19">
        <f>$B211*'CVS Payments'!J$20</f>
        <v>58348.885993707801</v>
      </c>
      <c r="M211" s="19">
        <f>$B211*'CVS Payments'!K$20</f>
        <v>58297.485538450805</v>
      </c>
      <c r="N211" s="19">
        <f>$B211*'CVS Payments'!L$20</f>
        <v>58297.485538450805</v>
      </c>
      <c r="O211" s="39" t="s">
        <v>346</v>
      </c>
      <c r="P211" s="7">
        <f t="shared" si="13"/>
        <v>561572.85954245052</v>
      </c>
    </row>
    <row r="212" spans="1:16" x14ac:dyDescent="0.35">
      <c r="A212" s="3" t="s">
        <v>234</v>
      </c>
      <c r="B212" s="16">
        <v>3.587611178190589E-4</v>
      </c>
      <c r="C212" s="8" t="s">
        <v>235</v>
      </c>
      <c r="D212" s="33" t="str">
        <f t="shared" si="12"/>
        <v>No</v>
      </c>
      <c r="E212" s="74">
        <v>1466.36</v>
      </c>
      <c r="F212" s="19">
        <v>1069.51</v>
      </c>
      <c r="G212" s="19">
        <f>$B212*'CVS Payments'!E$20</f>
        <v>2624.5661188366876</v>
      </c>
      <c r="H212" s="19">
        <f>$B212*'CVS Payments'!F$20</f>
        <v>2624.5661188366876</v>
      </c>
      <c r="I212" s="19">
        <f>$B212*'CVS Payments'!G$20</f>
        <v>2624.5661188366876</v>
      </c>
      <c r="J212" s="19">
        <f>$B212*'CVS Payments'!H$20</f>
        <v>2624.5661188366876</v>
      </c>
      <c r="K212" s="19">
        <f>$B212*'CVS Payments'!I$20</f>
        <v>2493.4418670768737</v>
      </c>
      <c r="L212" s="19">
        <f>$B212*'CVS Payments'!J$20</f>
        <v>2362.3176099339635</v>
      </c>
      <c r="M212" s="19">
        <f>$B212*'CVS Payments'!K$20</f>
        <v>2360.2366070400035</v>
      </c>
      <c r="N212" s="19">
        <f>$B212*'CVS Payments'!L$20</f>
        <v>2360.2366070400035</v>
      </c>
      <c r="O212" s="39" t="s">
        <v>346</v>
      </c>
      <c r="P212" s="7">
        <f t="shared" si="13"/>
        <v>22610.367166437591</v>
      </c>
    </row>
    <row r="213" spans="1:16" x14ac:dyDescent="0.35">
      <c r="A213" s="3" t="s">
        <v>34</v>
      </c>
      <c r="B213" s="16">
        <v>1.3184908745622357E-4</v>
      </c>
      <c r="C213" s="8" t="s">
        <v>236</v>
      </c>
      <c r="D213" s="33" t="str">
        <f t="shared" si="12"/>
        <v>No</v>
      </c>
      <c r="E213" s="74">
        <v>538.9</v>
      </c>
      <c r="F213" s="19">
        <v>393.06</v>
      </c>
      <c r="G213" s="19">
        <f>$B213*'CVS Payments'!E$20</f>
        <v>964.56006671176738</v>
      </c>
      <c r="H213" s="19">
        <f>$B213*'CVS Payments'!F$20</f>
        <v>964.56006671176738</v>
      </c>
      <c r="I213" s="19">
        <f>$B213*'CVS Payments'!G$20</f>
        <v>964.56006671176738</v>
      </c>
      <c r="J213" s="19">
        <f>$B213*'CVS Payments'!H$20</f>
        <v>964.56006671176738</v>
      </c>
      <c r="K213" s="19">
        <f>$B213*'CVS Payments'!I$20</f>
        <v>916.3703045574664</v>
      </c>
      <c r="L213" s="19">
        <f>$B213*'CVS Payments'!J$20</f>
        <v>868.18054042481185</v>
      </c>
      <c r="M213" s="19">
        <f>$B213*'CVS Payments'!K$20</f>
        <v>867.41574647436846</v>
      </c>
      <c r="N213" s="19">
        <f>$B213*'CVS Payments'!L$20</f>
        <v>867.41574647436846</v>
      </c>
      <c r="O213" s="39" t="s">
        <v>346</v>
      </c>
      <c r="P213" s="7">
        <f t="shared" si="13"/>
        <v>8309.5826047780847</v>
      </c>
    </row>
    <row r="214" spans="1:16" x14ac:dyDescent="0.35">
      <c r="A214" s="3" t="s">
        <v>24</v>
      </c>
      <c r="B214" s="16">
        <v>4.1475564429802469E-5</v>
      </c>
      <c r="C214" s="8" t="s">
        <v>237</v>
      </c>
      <c r="D214" s="33" t="str">
        <f t="shared" si="12"/>
        <v>Yes</v>
      </c>
      <c r="E214" s="74">
        <v>2766.9</v>
      </c>
      <c r="F214" s="19">
        <v>0</v>
      </c>
      <c r="G214" s="52">
        <f>$B214*'CVS Payments'!E$20</f>
        <v>303.4201750285236</v>
      </c>
      <c r="H214" s="52">
        <f>$B214*'CVS Payments'!F$20</f>
        <v>303.4201750285236</v>
      </c>
      <c r="I214" s="52">
        <f>$B214*'CVS Payments'!G$20</f>
        <v>303.4201750285236</v>
      </c>
      <c r="J214" s="52">
        <f>$B214*'CVS Payments'!H$20</f>
        <v>303.4201750285236</v>
      </c>
      <c r="K214" s="52">
        <f>$B214*'CVS Payments'!I$20</f>
        <v>288.26119574661413</v>
      </c>
      <c r="L214" s="52">
        <f>$B214*'CVS Payments'!J$20</f>
        <v>273.10221584237701</v>
      </c>
      <c r="M214" s="52">
        <f>$B214*'CVS Payments'!K$20</f>
        <v>272.86163578695817</v>
      </c>
      <c r="N214" s="52">
        <f>$B214*'CVS Payments'!L$20</f>
        <v>272.86163578695817</v>
      </c>
      <c r="O214" s="39" t="s">
        <v>346</v>
      </c>
      <c r="P214" s="7">
        <f>E215</f>
        <v>1164.1400000000001</v>
      </c>
    </row>
    <row r="215" spans="1:16" x14ac:dyDescent="0.35">
      <c r="A215" s="3" t="s">
        <v>28</v>
      </c>
      <c r="B215" s="16">
        <v>2.8482037360000003E-4</v>
      </c>
      <c r="C215" s="8" t="s">
        <v>238</v>
      </c>
      <c r="D215" s="33" t="str">
        <f t="shared" si="12"/>
        <v>No</v>
      </c>
      <c r="E215" s="74">
        <v>1164.1400000000001</v>
      </c>
      <c r="F215" s="19">
        <v>849.08</v>
      </c>
      <c r="G215" s="19">
        <f>$B215*'CVS Payments'!E$20</f>
        <v>2083.6424723204927</v>
      </c>
      <c r="H215" s="19">
        <f>$B215*'CVS Payments'!F$20</f>
        <v>2083.6424723204927</v>
      </c>
      <c r="I215" s="19">
        <f>$B215*'CVS Payments'!G$20</f>
        <v>2083.6424723204927</v>
      </c>
      <c r="J215" s="19">
        <f>$B215*'CVS Payments'!H$20</f>
        <v>2083.6424723204927</v>
      </c>
      <c r="K215" s="19">
        <f>$B215*'CVS Payments'!I$20</f>
        <v>1979.5429572969986</v>
      </c>
      <c r="L215" s="19">
        <f>$B215*'CVS Payments'!J$20</f>
        <v>1875.4434379998654</v>
      </c>
      <c r="M215" s="19">
        <f>$B215*'CVS Payments'!K$20</f>
        <v>1873.7913302538436</v>
      </c>
      <c r="N215" s="19">
        <f>$B215*'CVS Payments'!L$20</f>
        <v>1873.7913302538436</v>
      </c>
      <c r="O215" s="39" t="s">
        <v>346</v>
      </c>
      <c r="P215" s="7">
        <f t="shared" si="13"/>
        <v>17950.358945086522</v>
      </c>
    </row>
    <row r="216" spans="1:16" x14ac:dyDescent="0.35">
      <c r="A216" s="3" t="s">
        <v>14</v>
      </c>
      <c r="B216" s="16">
        <v>8.7988886930075511E-5</v>
      </c>
      <c r="C216" s="8" t="s">
        <v>239</v>
      </c>
      <c r="D216" s="33" t="str">
        <f t="shared" si="12"/>
        <v>No</v>
      </c>
      <c r="E216" s="74">
        <v>359.64</v>
      </c>
      <c r="F216" s="19">
        <v>262.3</v>
      </c>
      <c r="G216" s="19">
        <f>$B216*'CVS Payments'!E$20</f>
        <v>643.69475955111523</v>
      </c>
      <c r="H216" s="19">
        <f>$B216*'CVS Payments'!F$20</f>
        <v>643.69475955111523</v>
      </c>
      <c r="I216" s="19">
        <f>$B216*'CVS Payments'!G$20</f>
        <v>643.69475955111523</v>
      </c>
      <c r="J216" s="19">
        <f>$B216*'CVS Payments'!H$20</f>
        <v>643.69475955111523</v>
      </c>
      <c r="K216" s="19">
        <f>$B216*'CVS Payments'!I$20</f>
        <v>611.53554165140974</v>
      </c>
      <c r="L216" s="19">
        <f>$B216*'CVS Payments'!J$20</f>
        <v>579.37632243145902</v>
      </c>
      <c r="M216" s="19">
        <f>$B216*'CVS Payments'!K$20</f>
        <v>578.8659406781328</v>
      </c>
      <c r="N216" s="19">
        <f>$B216*'CVS Payments'!L$20</f>
        <v>578.8659406781328</v>
      </c>
      <c r="O216" s="39" t="s">
        <v>346</v>
      </c>
      <c r="P216" s="7">
        <f t="shared" si="13"/>
        <v>5545.3627836435944</v>
      </c>
    </row>
    <row r="217" spans="1:16" x14ac:dyDescent="0.35">
      <c r="A217" s="3" t="s">
        <v>22</v>
      </c>
      <c r="B217" s="16">
        <v>3.6990834623853557E-4</v>
      </c>
      <c r="C217" s="8" t="s">
        <v>240</v>
      </c>
      <c r="D217" s="33" t="str">
        <f t="shared" si="12"/>
        <v>No</v>
      </c>
      <c r="E217" s="74">
        <v>1511.92</v>
      </c>
      <c r="F217" s="19">
        <v>1102.74</v>
      </c>
      <c r="G217" s="19">
        <f>$B217*'CVS Payments'!E$20</f>
        <v>2706.1151958563646</v>
      </c>
      <c r="H217" s="19">
        <f>$B217*'CVS Payments'!F$20</f>
        <v>2706.1151958563646</v>
      </c>
      <c r="I217" s="19">
        <f>$B217*'CVS Payments'!G$20</f>
        <v>2706.1151958563646</v>
      </c>
      <c r="J217" s="19">
        <f>$B217*'CVS Payments'!H$20</f>
        <v>2706.1151958563646</v>
      </c>
      <c r="K217" s="19">
        <f>$B217*'CVS Payments'!I$20</f>
        <v>2570.9167233599637</v>
      </c>
      <c r="L217" s="19">
        <f>$B217*'CVS Payments'!J$20</f>
        <v>2435.7182453132054</v>
      </c>
      <c r="M217" s="19">
        <f>$B217*'CVS Payments'!K$20</f>
        <v>2433.5725826402218</v>
      </c>
      <c r="N217" s="19">
        <f>$B217*'CVS Payments'!L$20</f>
        <v>2433.5725826402218</v>
      </c>
      <c r="O217" s="39" t="s">
        <v>346</v>
      </c>
      <c r="P217" s="7">
        <f t="shared" si="13"/>
        <v>23312.900917379073</v>
      </c>
    </row>
    <row r="218" spans="1:16" x14ac:dyDescent="0.35">
      <c r="A218" s="3" t="s">
        <v>34</v>
      </c>
      <c r="B218" s="16">
        <v>3.3688147393600002E-3</v>
      </c>
      <c r="C218" s="8" t="s">
        <v>241</v>
      </c>
      <c r="D218" s="33" t="str">
        <f t="shared" si="12"/>
        <v>No</v>
      </c>
      <c r="E218" s="74">
        <v>13769.29</v>
      </c>
      <c r="F218" s="19">
        <v>10042.799999999999</v>
      </c>
      <c r="G218" s="19">
        <f>$B218*'CVS Payments'!E$20</f>
        <v>24645.025858184556</v>
      </c>
      <c r="H218" s="19">
        <f>$B218*'CVS Payments'!F$20</f>
        <v>24645.025858184556</v>
      </c>
      <c r="I218" s="19">
        <f>$B218*'CVS Payments'!G$20</f>
        <v>24645.025858184556</v>
      </c>
      <c r="J218" s="19">
        <f>$B218*'CVS Payments'!H$20</f>
        <v>24645.025858184556</v>
      </c>
      <c r="K218" s="19">
        <f>$B218*'CVS Payments'!I$20</f>
        <v>23413.751647920777</v>
      </c>
      <c r="L218" s="19">
        <f>$B218*'CVS Payments'!J$20</f>
        <v>22182.477387109004</v>
      </c>
      <c r="M218" s="19">
        <f>$B218*'CVS Payments'!K$20</f>
        <v>22162.936492419973</v>
      </c>
      <c r="N218" s="19">
        <f>$B218*'CVS Payments'!L$20</f>
        <v>22162.936492419973</v>
      </c>
      <c r="O218" s="39" t="s">
        <v>346</v>
      </c>
      <c r="P218" s="7">
        <f t="shared" si="13"/>
        <v>212314.29545260797</v>
      </c>
    </row>
    <row r="219" spans="1:16" x14ac:dyDescent="0.35">
      <c r="A219" s="3" t="s">
        <v>121</v>
      </c>
      <c r="B219" s="16">
        <v>8.6247881362653192E-5</v>
      </c>
      <c r="C219" s="8" t="s">
        <v>242</v>
      </c>
      <c r="D219" s="33" t="str">
        <f t="shared" si="12"/>
        <v>No</v>
      </c>
      <c r="E219" s="74">
        <v>352.52</v>
      </c>
      <c r="F219" s="19">
        <v>257.11</v>
      </c>
      <c r="G219" s="19">
        <f>$B219*'CVS Payments'!E$20</f>
        <v>630.95819475072562</v>
      </c>
      <c r="H219" s="19">
        <f>$B219*'CVS Payments'!F$20</f>
        <v>630.95819475072562</v>
      </c>
      <c r="I219" s="19">
        <f>$B219*'CVS Payments'!G$20</f>
        <v>630.95819475072562</v>
      </c>
      <c r="J219" s="19">
        <f>$B219*'CVS Payments'!H$20</f>
        <v>630.95819475072562</v>
      </c>
      <c r="K219" s="19">
        <f>$B219*'CVS Payments'!I$20</f>
        <v>599.43530013411646</v>
      </c>
      <c r="L219" s="19">
        <f>$B219*'CVS Payments'!J$20</f>
        <v>567.91240422338524</v>
      </c>
      <c r="M219" s="19">
        <f>$B219*'CVS Payments'!K$20</f>
        <v>567.41212121667411</v>
      </c>
      <c r="N219" s="19">
        <f>$B219*'CVS Payments'!L$20</f>
        <v>567.41212121667411</v>
      </c>
      <c r="O219" s="39" t="s">
        <v>346</v>
      </c>
      <c r="P219" s="7">
        <f t="shared" si="13"/>
        <v>5435.6347257937523</v>
      </c>
    </row>
    <row r="220" spans="1:16" x14ac:dyDescent="0.35">
      <c r="A220" s="3" t="s">
        <v>121</v>
      </c>
      <c r="B220" s="16">
        <v>1.5570980204524306E-3</v>
      </c>
      <c r="C220" s="8" t="s">
        <v>243</v>
      </c>
      <c r="D220" s="33" t="str">
        <f t="shared" si="12"/>
        <v>No</v>
      </c>
      <c r="E220" s="74">
        <v>6364.29</v>
      </c>
      <c r="F220" s="19">
        <v>4641.88</v>
      </c>
      <c r="G220" s="19">
        <f>$B220*'CVS Payments'!E$20</f>
        <v>11391.163939477563</v>
      </c>
      <c r="H220" s="19">
        <f>$B220*'CVS Payments'!F$20</f>
        <v>11391.163939477563</v>
      </c>
      <c r="I220" s="19">
        <f>$B220*'CVS Payments'!G$20</f>
        <v>11391.163939477563</v>
      </c>
      <c r="J220" s="19">
        <f>$B220*'CVS Payments'!H$20</f>
        <v>11391.163939477563</v>
      </c>
      <c r="K220" s="19">
        <f>$B220*'CVS Payments'!I$20</f>
        <v>10822.057359339502</v>
      </c>
      <c r="L220" s="19">
        <f>$B220*'CVS Payments'!J$20</f>
        <v>10252.950755837681</v>
      </c>
      <c r="M220" s="19">
        <f>$B220*'CVS Payments'!K$20</f>
        <v>10243.918769577747</v>
      </c>
      <c r="N220" s="19">
        <f>$B220*'CVS Payments'!L$20</f>
        <v>10243.918769577747</v>
      </c>
      <c r="O220" s="39" t="s">
        <v>346</v>
      </c>
      <c r="P220" s="7">
        <f t="shared" si="13"/>
        <v>98133.67141224294</v>
      </c>
    </row>
    <row r="221" spans="1:16" x14ac:dyDescent="0.35">
      <c r="A221" s="3" t="s">
        <v>83</v>
      </c>
      <c r="B221" s="16">
        <v>5.8689546567199742E-4</v>
      </c>
      <c r="C221" s="8" t="s">
        <v>244</v>
      </c>
      <c r="D221" s="33" t="str">
        <f t="shared" si="12"/>
        <v>No</v>
      </c>
      <c r="E221" s="74">
        <v>2398.81</v>
      </c>
      <c r="F221" s="19">
        <v>1749.6</v>
      </c>
      <c r="G221" s="19">
        <f>$B221*'CVS Payments'!E$20</f>
        <v>4293.5142020559706</v>
      </c>
      <c r="H221" s="19">
        <f>$B221*'CVS Payments'!F$20</f>
        <v>4293.5142020559706</v>
      </c>
      <c r="I221" s="19">
        <f>$B221*'CVS Payments'!G$20</f>
        <v>4293.5142020559706</v>
      </c>
      <c r="J221" s="19">
        <f>$B221*'CVS Payments'!H$20</f>
        <v>4293.5142020559706</v>
      </c>
      <c r="K221" s="19">
        <f>$B221*'CVS Payments'!I$20</f>
        <v>4079.0087136538491</v>
      </c>
      <c r="L221" s="19">
        <f>$B221*'CVS Payments'!J$20</f>
        <v>3864.5032164455479</v>
      </c>
      <c r="M221" s="19">
        <f>$B221*'CVS Payments'!K$20</f>
        <v>3861.0989145247049</v>
      </c>
      <c r="N221" s="19">
        <f>$B221*'CVS Payments'!L$20</f>
        <v>3861.0989145247049</v>
      </c>
      <c r="O221" s="39" t="s">
        <v>346</v>
      </c>
      <c r="P221" s="7">
        <f t="shared" si="13"/>
        <v>36988.176567372699</v>
      </c>
    </row>
    <row r="222" spans="1:16" x14ac:dyDescent="0.35">
      <c r="A222" s="3" t="s">
        <v>245</v>
      </c>
      <c r="B222" s="16">
        <v>1.6298467953600002E-3</v>
      </c>
      <c r="C222" s="8" t="s">
        <v>245</v>
      </c>
      <c r="D222" s="33" t="str">
        <f t="shared" si="12"/>
        <v>No</v>
      </c>
      <c r="E222" s="74">
        <v>6661.64</v>
      </c>
      <c r="F222" s="19">
        <v>4858.75</v>
      </c>
      <c r="G222" s="19">
        <f>$B222*'CVS Payments'!E$20</f>
        <v>11923.367571158689</v>
      </c>
      <c r="H222" s="19">
        <f>$B222*'CVS Payments'!F$20</f>
        <v>11923.367571158689</v>
      </c>
      <c r="I222" s="19">
        <f>$B222*'CVS Payments'!G$20</f>
        <v>11923.367571158689</v>
      </c>
      <c r="J222" s="19">
        <f>$B222*'CVS Payments'!H$20</f>
        <v>11923.367571158689</v>
      </c>
      <c r="K222" s="19">
        <f>$B222*'CVS Payments'!I$20</f>
        <v>11327.671909310249</v>
      </c>
      <c r="L222" s="19">
        <f>$B222*'CVS Payments'!J$20</f>
        <v>10731.976223006475</v>
      </c>
      <c r="M222" s="19">
        <f>$B222*'CVS Payments'!K$20</f>
        <v>10722.522255646598</v>
      </c>
      <c r="N222" s="19">
        <f>$B222*'CVS Payments'!L$20</f>
        <v>10722.522255646598</v>
      </c>
      <c r="O222" s="39" t="s">
        <v>346</v>
      </c>
      <c r="P222" s="7">
        <f t="shared" si="13"/>
        <v>102718.5529282447</v>
      </c>
    </row>
    <row r="223" spans="1:16" x14ac:dyDescent="0.35">
      <c r="A223" s="3" t="s">
        <v>22</v>
      </c>
      <c r="B223" s="16">
        <v>1.2666525541676524E-3</v>
      </c>
      <c r="C223" s="8" t="s">
        <v>246</v>
      </c>
      <c r="D223" s="33" t="str">
        <f t="shared" si="12"/>
        <v>No</v>
      </c>
      <c r="E223" s="74">
        <v>5177.16</v>
      </c>
      <c r="F223" s="19">
        <v>3776.03</v>
      </c>
      <c r="G223" s="19">
        <f>$B223*'CVS Payments'!E$20</f>
        <v>9266.3703308089243</v>
      </c>
      <c r="H223" s="19">
        <f>$B223*'CVS Payments'!F$20</f>
        <v>9266.3703308089243</v>
      </c>
      <c r="I223" s="19">
        <f>$B223*'CVS Payments'!G$20</f>
        <v>9266.3703308089243</v>
      </c>
      <c r="J223" s="19">
        <f>$B223*'CVS Payments'!H$20</f>
        <v>9266.3703308089243</v>
      </c>
      <c r="K223" s="19">
        <f>$B223*'CVS Payments'!I$20</f>
        <v>8803.4191910238787</v>
      </c>
      <c r="L223" s="19">
        <f>$B223*'CVS Payments'!J$20</f>
        <v>8340.4680322331133</v>
      </c>
      <c r="M223" s="19">
        <f>$B223*'CVS Payments'!K$20</f>
        <v>8333.1207822109045</v>
      </c>
      <c r="N223" s="19">
        <f>$B223*'CVS Payments'!L$20</f>
        <v>8333.1207822109045</v>
      </c>
      <c r="O223" s="39" t="s">
        <v>346</v>
      </c>
      <c r="P223" s="7">
        <f t="shared" si="13"/>
        <v>79828.800110914497</v>
      </c>
    </row>
    <row r="224" spans="1:16" x14ac:dyDescent="0.35">
      <c r="A224" s="3" t="s">
        <v>22</v>
      </c>
      <c r="B224" s="16">
        <v>2.8839077355712506E-4</v>
      </c>
      <c r="C224" s="8" t="s">
        <v>247</v>
      </c>
      <c r="D224" s="33" t="str">
        <f t="shared" si="12"/>
        <v>No</v>
      </c>
      <c r="E224" s="74">
        <v>1178.73</v>
      </c>
      <c r="F224" s="19">
        <v>859.72</v>
      </c>
      <c r="G224" s="19">
        <f>$B224*'CVS Payments'!E$20</f>
        <v>2109.7622224626816</v>
      </c>
      <c r="H224" s="19">
        <f>$B224*'CVS Payments'!F$20</f>
        <v>2109.7622224626816</v>
      </c>
      <c r="I224" s="19">
        <f>$B224*'CVS Payments'!G$20</f>
        <v>2109.7622224626816</v>
      </c>
      <c r="J224" s="19">
        <f>$B224*'CVS Payments'!H$20</f>
        <v>2109.7622224626816</v>
      </c>
      <c r="K224" s="19">
        <f>$B224*'CVS Payments'!I$20</f>
        <v>2004.3577554819988</v>
      </c>
      <c r="L224" s="19">
        <f>$B224*'CVS Payments'!J$20</f>
        <v>1898.9532841741038</v>
      </c>
      <c r="M224" s="19">
        <f>$B224*'CVS Payments'!K$20</f>
        <v>1897.2804662332635</v>
      </c>
      <c r="N224" s="19">
        <f>$B224*'CVS Payments'!L$20</f>
        <v>1897.2804662332635</v>
      </c>
      <c r="O224" s="39" t="s">
        <v>346</v>
      </c>
      <c r="P224" s="7">
        <f t="shared" si="13"/>
        <v>18175.370861973355</v>
      </c>
    </row>
    <row r="225" spans="1:16" x14ac:dyDescent="0.35">
      <c r="A225" s="3" t="s">
        <v>34</v>
      </c>
      <c r="B225" s="16">
        <v>2.3853655851105939E-4</v>
      </c>
      <c r="C225" s="8" t="s">
        <v>248</v>
      </c>
      <c r="D225" s="33" t="str">
        <f t="shared" si="12"/>
        <v>No</v>
      </c>
      <c r="E225" s="74">
        <v>974.97</v>
      </c>
      <c r="F225" s="19">
        <v>711.1</v>
      </c>
      <c r="G225" s="19">
        <f>$B225*'CVS Payments'!E$20</f>
        <v>1745.0468807151567</v>
      </c>
      <c r="H225" s="19">
        <f>$B225*'CVS Payments'!F$20</f>
        <v>1745.0468807151567</v>
      </c>
      <c r="I225" s="19">
        <f>$B225*'CVS Payments'!G$20</f>
        <v>1745.0468807151567</v>
      </c>
      <c r="J225" s="19">
        <f>$B225*'CVS Payments'!H$20</f>
        <v>1745.0468807151567</v>
      </c>
      <c r="K225" s="19">
        <f>$B225*'CVS Payments'!I$20</f>
        <v>1657.8637212293545</v>
      </c>
      <c r="L225" s="19">
        <f>$B225*'CVS Payments'!J$20</f>
        <v>1570.6805581643869</v>
      </c>
      <c r="M225" s="19">
        <f>$B225*'CVS Payments'!K$20</f>
        <v>1569.2969208527566</v>
      </c>
      <c r="N225" s="19">
        <f>$B225*'CVS Payments'!L$20</f>
        <v>1569.2969208527566</v>
      </c>
      <c r="O225" s="39" t="s">
        <v>346</v>
      </c>
      <c r="P225" s="7">
        <f t="shared" si="13"/>
        <v>15033.395643959884</v>
      </c>
    </row>
    <row r="226" spans="1:16" x14ac:dyDescent="0.35">
      <c r="A226" s="3" t="s">
        <v>34</v>
      </c>
      <c r="B226" s="16">
        <v>4.0386057204984545E-4</v>
      </c>
      <c r="C226" s="8" t="s">
        <v>249</v>
      </c>
      <c r="D226" s="33" t="str">
        <f t="shared" si="12"/>
        <v>No</v>
      </c>
      <c r="E226" s="74">
        <v>1650.69</v>
      </c>
      <c r="F226" s="19">
        <v>1203.95</v>
      </c>
      <c r="G226" s="19">
        <f>$B226*'CVS Payments'!E$20</f>
        <v>2954.4973562899236</v>
      </c>
      <c r="H226" s="19">
        <f>$B226*'CVS Payments'!F$20</f>
        <v>2954.4973562899236</v>
      </c>
      <c r="I226" s="19">
        <f>$B226*'CVS Payments'!G$20</f>
        <v>2954.4973562899236</v>
      </c>
      <c r="J226" s="19">
        <f>$B226*'CVS Payments'!H$20</f>
        <v>2954.4973562899236</v>
      </c>
      <c r="K226" s="19">
        <f>$B226*'CVS Payments'!I$20</f>
        <v>2806.8896231909462</v>
      </c>
      <c r="L226" s="19">
        <f>$B226*'CVS Payments'!J$20</f>
        <v>2659.2818840321697</v>
      </c>
      <c r="M226" s="19">
        <f>$B226*'CVS Payments'!K$20</f>
        <v>2656.9392806187866</v>
      </c>
      <c r="N226" s="19">
        <f>$B226*'CVS Payments'!L$20</f>
        <v>2656.9392806187866</v>
      </c>
      <c r="O226" s="39" t="s">
        <v>346</v>
      </c>
      <c r="P226" s="7">
        <f t="shared" si="13"/>
        <v>25452.679493620384</v>
      </c>
    </row>
    <row r="227" spans="1:16" x14ac:dyDescent="0.35">
      <c r="A227" s="3" t="s">
        <v>22</v>
      </c>
      <c r="B227" s="16">
        <v>1.0430545820800002E-3</v>
      </c>
      <c r="C227" s="8" t="s">
        <v>250</v>
      </c>
      <c r="D227" s="33" t="str">
        <f t="shared" si="12"/>
        <v>No</v>
      </c>
      <c r="E227" s="74">
        <v>4263.25</v>
      </c>
      <c r="F227" s="19">
        <v>3109.46</v>
      </c>
      <c r="G227" s="19">
        <f>$B227*'CVS Payments'!E$20</f>
        <v>7630.608726125165</v>
      </c>
      <c r="H227" s="19">
        <f>$B227*'CVS Payments'!F$20</f>
        <v>7630.608726125165</v>
      </c>
      <c r="I227" s="19">
        <f>$B227*'CVS Payments'!G$20</f>
        <v>7630.608726125165</v>
      </c>
      <c r="J227" s="19">
        <f>$B227*'CVS Payments'!H$20</f>
        <v>7630.608726125165</v>
      </c>
      <c r="K227" s="19">
        <f>$B227*'CVS Payments'!I$20</f>
        <v>7249.3808147747905</v>
      </c>
      <c r="L227" s="19">
        <f>$B227*'CVS Payments'!J$20</f>
        <v>6868.1528877737137</v>
      </c>
      <c r="M227" s="19">
        <f>$B227*'CVS Payments'!K$20</f>
        <v>6862.1026234165793</v>
      </c>
      <c r="N227" s="19">
        <f>$B227*'CVS Payments'!L$20</f>
        <v>6862.1026234165793</v>
      </c>
      <c r="O227" s="39" t="s">
        <v>346</v>
      </c>
      <c r="P227" s="7">
        <f t="shared" si="13"/>
        <v>65736.883853882333</v>
      </c>
    </row>
    <row r="228" spans="1:16" x14ac:dyDescent="0.35">
      <c r="A228" s="3" t="s">
        <v>251</v>
      </c>
      <c r="B228" s="16">
        <v>4.3018366798400001E-3</v>
      </c>
      <c r="C228" s="8" t="s">
        <v>251</v>
      </c>
      <c r="D228" s="33" t="str">
        <f t="shared" si="12"/>
        <v>No</v>
      </c>
      <c r="E228" s="74">
        <v>17582.810000000001</v>
      </c>
      <c r="F228" s="19">
        <v>12824.24</v>
      </c>
      <c r="G228" s="19">
        <f>$B228*'CVS Payments'!E$20</f>
        <v>31470.675716790774</v>
      </c>
      <c r="H228" s="19">
        <f>$B228*'CVS Payments'!F$20</f>
        <v>31470.675716790774</v>
      </c>
      <c r="I228" s="19">
        <f>$B228*'CVS Payments'!G$20</f>
        <v>31470.675716790774</v>
      </c>
      <c r="J228" s="19">
        <f>$B228*'CVS Payments'!H$20</f>
        <v>31470.675716790774</v>
      </c>
      <c r="K228" s="19">
        <f>$B228*'CVS Payments'!I$20</f>
        <v>29898.38962495896</v>
      </c>
      <c r="L228" s="19">
        <f>$B228*'CVS Payments'!J$20</f>
        <v>28326.103468579451</v>
      </c>
      <c r="M228" s="19">
        <f>$B228*'CVS Payments'!K$20</f>
        <v>28301.150556640416</v>
      </c>
      <c r="N228" s="19">
        <f>$B228*'CVS Payments'!L$20</f>
        <v>28301.150556640416</v>
      </c>
      <c r="O228" s="39" t="s">
        <v>346</v>
      </c>
      <c r="P228" s="7">
        <f t="shared" si="13"/>
        <v>271116.54707398236</v>
      </c>
    </row>
    <row r="229" spans="1:16" x14ac:dyDescent="0.35">
      <c r="A229" s="3" t="s">
        <v>75</v>
      </c>
      <c r="B229" s="16">
        <v>2.5535928015214338E-3</v>
      </c>
      <c r="C229" s="8" t="s">
        <v>252</v>
      </c>
      <c r="D229" s="33" t="str">
        <f t="shared" si="12"/>
        <v>No</v>
      </c>
      <c r="E229" s="74">
        <v>10437.25</v>
      </c>
      <c r="F229" s="19">
        <v>7612.53</v>
      </c>
      <c r="G229" s="19">
        <f>$B229*'CVS Payments'!E$20</f>
        <v>18681.158061165934</v>
      </c>
      <c r="H229" s="19">
        <f>$B229*'CVS Payments'!F$20</f>
        <v>18681.158061165934</v>
      </c>
      <c r="I229" s="19">
        <f>$B229*'CVS Payments'!G$20</f>
        <v>18681.158061165934</v>
      </c>
      <c r="J229" s="19">
        <f>$B229*'CVS Payments'!H$20</f>
        <v>18681.158061165934</v>
      </c>
      <c r="K229" s="19">
        <f>$B229*'CVS Payments'!I$20</f>
        <v>17747.840795810494</v>
      </c>
      <c r="L229" s="19">
        <f>$B229*'CVS Payments'!J$20</f>
        <v>16814.523492139204</v>
      </c>
      <c r="M229" s="19">
        <f>$B229*'CVS Payments'!K$20</f>
        <v>16799.711312819814</v>
      </c>
      <c r="N229" s="19">
        <f>$B229*'CVS Payments'!L$20</f>
        <v>16799.711312819814</v>
      </c>
      <c r="O229" s="39" t="s">
        <v>346</v>
      </c>
      <c r="P229" s="7">
        <f t="shared" si="13"/>
        <v>160936.19915825306</v>
      </c>
    </row>
    <row r="230" spans="1:16" x14ac:dyDescent="0.35">
      <c r="A230" s="3" t="s">
        <v>34</v>
      </c>
      <c r="B230" s="16">
        <v>1.5512635402572228E-3</v>
      </c>
      <c r="C230" s="8" t="s">
        <v>253</v>
      </c>
      <c r="D230" s="33" t="str">
        <f t="shared" si="12"/>
        <v>No</v>
      </c>
      <c r="E230" s="74">
        <v>6340.45</v>
      </c>
      <c r="F230" s="19">
        <v>4624.4799999999996</v>
      </c>
      <c r="G230" s="19">
        <f>$B230*'CVS Payments'!E$20</f>
        <v>11348.48100010427</v>
      </c>
      <c r="H230" s="19">
        <f>$B230*'CVS Payments'!F$20</f>
        <v>11348.48100010427</v>
      </c>
      <c r="I230" s="19">
        <f>$B230*'CVS Payments'!G$20</f>
        <v>11348.48100010427</v>
      </c>
      <c r="J230" s="19">
        <f>$B230*'CVS Payments'!H$20</f>
        <v>11348.48100010427</v>
      </c>
      <c r="K230" s="19">
        <f>$B230*'CVS Payments'!I$20</f>
        <v>10781.506874716753</v>
      </c>
      <c r="L230" s="19">
        <f>$B230*'CVS Payments'!J$20</f>
        <v>10214.532726053021</v>
      </c>
      <c r="M230" s="19">
        <f>$B230*'CVS Payments'!K$20</f>
        <v>10205.534582842314</v>
      </c>
      <c r="N230" s="19">
        <f>$B230*'CVS Payments'!L$20</f>
        <v>10205.534582842314</v>
      </c>
      <c r="O230" s="39" t="s">
        <v>346</v>
      </c>
      <c r="P230" s="7">
        <f t="shared" si="13"/>
        <v>97765.962766871482</v>
      </c>
    </row>
    <row r="231" spans="1:16" x14ac:dyDescent="0.35">
      <c r="A231" s="3" t="s">
        <v>254</v>
      </c>
      <c r="B231" s="16">
        <v>4.1352700239291102E-4</v>
      </c>
      <c r="C231" s="8" t="s">
        <v>255</v>
      </c>
      <c r="D231" s="33" t="str">
        <f t="shared" si="12"/>
        <v>No</v>
      </c>
      <c r="E231" s="74">
        <v>1690.2</v>
      </c>
      <c r="F231" s="19">
        <v>1232.77</v>
      </c>
      <c r="G231" s="19">
        <f>$B231*'CVS Payments'!E$20</f>
        <v>3025.213452066223</v>
      </c>
      <c r="H231" s="19">
        <f>$B231*'CVS Payments'!F$20</f>
        <v>3025.213452066223</v>
      </c>
      <c r="I231" s="19">
        <f>$B231*'CVS Payments'!G$20</f>
        <v>3025.213452066223</v>
      </c>
      <c r="J231" s="19">
        <f>$B231*'CVS Payments'!H$20</f>
        <v>3025.213452066223</v>
      </c>
      <c r="K231" s="19">
        <f>$B231*'CVS Payments'!I$20</f>
        <v>2874.0727178058373</v>
      </c>
      <c r="L231" s="19">
        <f>$B231*'CVS Payments'!J$20</f>
        <v>2722.931977340611</v>
      </c>
      <c r="M231" s="19">
        <f>$B231*'CVS Payments'!K$20</f>
        <v>2720.5333035547183</v>
      </c>
      <c r="N231" s="19">
        <f>$B231*'CVS Payments'!L$20</f>
        <v>2720.5333035547183</v>
      </c>
      <c r="O231" s="39" t="s">
        <v>346</v>
      </c>
      <c r="P231" s="7">
        <f t="shared" si="13"/>
        <v>26061.895110520774</v>
      </c>
    </row>
    <row r="232" spans="1:16" x14ac:dyDescent="0.35">
      <c r="A232" s="3" t="s">
        <v>254</v>
      </c>
      <c r="B232" s="16">
        <v>2.5740509013613654E-3</v>
      </c>
      <c r="C232" s="8" t="s">
        <v>256</v>
      </c>
      <c r="D232" s="33" t="str">
        <f t="shared" si="12"/>
        <v>No</v>
      </c>
      <c r="E232" s="74">
        <v>10520.86</v>
      </c>
      <c r="F232" s="19">
        <v>7673.52</v>
      </c>
      <c r="G232" s="19">
        <f>$B232*'CVS Payments'!E$20</f>
        <v>18830.822093940922</v>
      </c>
      <c r="H232" s="19">
        <f>$B232*'CVS Payments'!F$20</f>
        <v>18830.822093940922</v>
      </c>
      <c r="I232" s="19">
        <f>$B232*'CVS Payments'!G$20</f>
        <v>18830.822093940922</v>
      </c>
      <c r="J232" s="19">
        <f>$B232*'CVS Payments'!H$20</f>
        <v>18830.822093940922</v>
      </c>
      <c r="K232" s="19">
        <f>$B232*'CVS Payments'!I$20</f>
        <v>17890.02756056311</v>
      </c>
      <c r="L232" s="19">
        <f>$B232*'CVS Payments'!J$20</f>
        <v>16949.232988562482</v>
      </c>
      <c r="M232" s="19">
        <f>$B232*'CVS Payments'!K$20</f>
        <v>16934.302141520038</v>
      </c>
      <c r="N232" s="19">
        <f>$B232*'CVS Payments'!L$20</f>
        <v>16934.302141520038</v>
      </c>
      <c r="O232" s="39" t="s">
        <v>346</v>
      </c>
      <c r="P232" s="7">
        <f t="shared" si="13"/>
        <v>162225.53320792937</v>
      </c>
    </row>
    <row r="233" spans="1:16" x14ac:dyDescent="0.35">
      <c r="A233" s="3" t="s">
        <v>254</v>
      </c>
      <c r="B233" s="16">
        <v>1.8052764385600002E-2</v>
      </c>
      <c r="C233" s="8" t="s">
        <v>254</v>
      </c>
      <c r="D233" s="33" t="str">
        <f t="shared" si="12"/>
        <v>No</v>
      </c>
      <c r="E233" s="74">
        <v>73786.679999999993</v>
      </c>
      <c r="F233" s="19">
        <v>53817.22</v>
      </c>
      <c r="G233" s="19">
        <f>$B233*'CVS Payments'!E$20</f>
        <v>132067.47165305636</v>
      </c>
      <c r="H233" s="19">
        <f>$B233*'CVS Payments'!F$20</f>
        <v>132067.47165305636</v>
      </c>
      <c r="I233" s="19">
        <f>$B233*'CVS Payments'!G$20</f>
        <v>132067.47165305636</v>
      </c>
      <c r="J233" s="19">
        <f>$B233*'CVS Payments'!H$20</f>
        <v>132067.47165305636</v>
      </c>
      <c r="K233" s="19">
        <f>$B233*'CVS Payments'!I$20</f>
        <v>125469.33404927097</v>
      </c>
      <c r="L233" s="19">
        <f>$B233*'CVS Payments'!J$20</f>
        <v>118871.19617460958</v>
      </c>
      <c r="M233" s="19">
        <f>$B233*'CVS Payments'!K$20</f>
        <v>118766.48066040117</v>
      </c>
      <c r="N233" s="19">
        <f>$B233*'CVS Payments'!L$20</f>
        <v>118766.48066040117</v>
      </c>
      <c r="O233" s="39" t="s">
        <v>346</v>
      </c>
      <c r="P233" s="7">
        <f t="shared" si="13"/>
        <v>1137747.2781569082</v>
      </c>
    </row>
    <row r="234" spans="1:16" x14ac:dyDescent="0.35">
      <c r="A234" s="3" t="s">
        <v>257</v>
      </c>
      <c r="B234" s="16">
        <v>3.8845852225600007E-3</v>
      </c>
      <c r="C234" s="8" t="s">
        <v>257</v>
      </c>
      <c r="D234" s="33" t="str">
        <f t="shared" si="12"/>
        <v>No</v>
      </c>
      <c r="E234" s="74">
        <v>15877.38</v>
      </c>
      <c r="F234" s="19">
        <v>11580.36</v>
      </c>
      <c r="G234" s="19">
        <f>$B234*'CVS Payments'!E$20</f>
        <v>28418.215504631899</v>
      </c>
      <c r="H234" s="19">
        <f>$B234*'CVS Payments'!F$20</f>
        <v>28418.215504631899</v>
      </c>
      <c r="I234" s="19">
        <f>$B234*'CVS Payments'!G$20</f>
        <v>28418.215504631899</v>
      </c>
      <c r="J234" s="19">
        <f>$B234*'CVS Payments'!H$20</f>
        <v>28418.215504631899</v>
      </c>
      <c r="K234" s="19">
        <f>$B234*'CVS Payments'!I$20</f>
        <v>26998.431404833471</v>
      </c>
      <c r="L234" s="19">
        <f>$B234*'CVS Payments'!J$20</f>
        <v>25578.647246748078</v>
      </c>
      <c r="M234" s="19">
        <f>$B234*'CVS Payments'!K$20</f>
        <v>25556.114612389254</v>
      </c>
      <c r="N234" s="19">
        <f>$B234*'CVS Payments'!L$20</f>
        <v>25556.114612389254</v>
      </c>
      <c r="O234" s="39" t="s">
        <v>346</v>
      </c>
      <c r="P234" s="7">
        <f t="shared" si="13"/>
        <v>244819.90989488765</v>
      </c>
    </row>
    <row r="235" spans="1:16" x14ac:dyDescent="0.35">
      <c r="A235" s="3" t="s">
        <v>77</v>
      </c>
      <c r="B235" s="16">
        <v>1.1028617297600002E-3</v>
      </c>
      <c r="C235" s="8" t="s">
        <v>258</v>
      </c>
      <c r="D235" s="33" t="str">
        <f t="shared" si="12"/>
        <v>No</v>
      </c>
      <c r="E235" s="74">
        <v>4507.7</v>
      </c>
      <c r="F235" s="19">
        <v>3287.75</v>
      </c>
      <c r="G235" s="19">
        <f>$B235*'CVS Payments'!E$20</f>
        <v>8068.1361104175639</v>
      </c>
      <c r="H235" s="19">
        <f>$B235*'CVS Payments'!F$20</f>
        <v>8068.1361104175639</v>
      </c>
      <c r="I235" s="19">
        <f>$B235*'CVS Payments'!G$20</f>
        <v>8068.1361104175639</v>
      </c>
      <c r="J235" s="19">
        <f>$B235*'CVS Payments'!H$20</f>
        <v>8068.1361104175639</v>
      </c>
      <c r="K235" s="19">
        <f>$B235*'CVS Payments'!I$20</f>
        <v>7665.0491761688836</v>
      </c>
      <c r="L235" s="19">
        <f>$B235*'CVS Payments'!J$20</f>
        <v>7261.9622253721136</v>
      </c>
      <c r="M235" s="19">
        <f>$B235*'CVS Payments'!K$20</f>
        <v>7255.5650481495104</v>
      </c>
      <c r="N235" s="19">
        <f>$B235*'CVS Payments'!L$20</f>
        <v>7255.5650481495104</v>
      </c>
      <c r="O235" s="39" t="s">
        <v>346</v>
      </c>
      <c r="P235" s="7">
        <f t="shared" si="13"/>
        <v>69506.135939510277</v>
      </c>
    </row>
    <row r="236" spans="1:16" x14ac:dyDescent="0.35">
      <c r="A236" s="3" t="s">
        <v>259</v>
      </c>
      <c r="B236" s="16">
        <v>4.7180115840645136E-4</v>
      </c>
      <c r="C236" s="8" t="s">
        <v>259</v>
      </c>
      <c r="D236" s="33" t="str">
        <f t="shared" si="12"/>
        <v>No</v>
      </c>
      <c r="E236" s="74">
        <v>1928.38</v>
      </c>
      <c r="F236" s="19">
        <v>1406.49</v>
      </c>
      <c r="G236" s="19">
        <f>$B236*'CVS Payments'!E$20</f>
        <v>3451.526025755099</v>
      </c>
      <c r="H236" s="19">
        <f>$B236*'CVS Payments'!F$20</f>
        <v>3451.526025755099</v>
      </c>
      <c r="I236" s="19">
        <f>$B236*'CVS Payments'!G$20</f>
        <v>3451.526025755099</v>
      </c>
      <c r="J236" s="19">
        <f>$B236*'CVS Payments'!H$20</f>
        <v>3451.526025755099</v>
      </c>
      <c r="K236" s="19">
        <f>$B236*'CVS Payments'!I$20</f>
        <v>3279.0865645014951</v>
      </c>
      <c r="L236" s="19">
        <f>$B236*'CVS Payments'!J$20</f>
        <v>3106.6470961686641</v>
      </c>
      <c r="M236" s="19">
        <f>$B236*'CVS Payments'!K$20</f>
        <v>3103.9104016740494</v>
      </c>
      <c r="N236" s="19">
        <f>$B236*'CVS Payments'!L$20</f>
        <v>3103.9104016740494</v>
      </c>
      <c r="O236" s="39" t="s">
        <v>346</v>
      </c>
      <c r="P236" s="7">
        <f t="shared" si="13"/>
        <v>29734.528567038655</v>
      </c>
    </row>
    <row r="237" spans="1:16" x14ac:dyDescent="0.35">
      <c r="A237" s="3" t="s">
        <v>28</v>
      </c>
      <c r="B237" s="16">
        <v>3.0790140802788518E-5</v>
      </c>
      <c r="C237" s="8" t="s">
        <v>260</v>
      </c>
      <c r="D237" s="33" t="str">
        <f t="shared" si="12"/>
        <v>Yes</v>
      </c>
      <c r="E237" s="74">
        <v>2054.06</v>
      </c>
      <c r="F237" s="19">
        <v>0</v>
      </c>
      <c r="G237" s="52">
        <f>$B237*'CVS Payments'!E$20</f>
        <v>225.24949424972715</v>
      </c>
      <c r="H237" s="52">
        <f>$B237*'CVS Payments'!F$20</f>
        <v>225.24949424972715</v>
      </c>
      <c r="I237" s="52">
        <f>$B237*'CVS Payments'!G$20</f>
        <v>225.24949424972715</v>
      </c>
      <c r="J237" s="52">
        <f>$B237*'CVS Payments'!H$20</f>
        <v>225.24949424972715</v>
      </c>
      <c r="K237" s="52">
        <f>$B237*'CVS Payments'!I$20</f>
        <v>213.99594983307387</v>
      </c>
      <c r="L237" s="52">
        <f>$B237*'CVS Payments'!J$20</f>
        <v>202.74240495442433</v>
      </c>
      <c r="M237" s="52">
        <f>$B237*'CVS Payments'!K$20</f>
        <v>202.56380596770708</v>
      </c>
      <c r="N237" s="52">
        <f>$B237*'CVS Payments'!L$20</f>
        <v>202.56380596770708</v>
      </c>
      <c r="O237" s="39" t="s">
        <v>346</v>
      </c>
      <c r="P237" s="7">
        <f>E238</f>
        <v>12371.62</v>
      </c>
    </row>
    <row r="238" spans="1:16" x14ac:dyDescent="0.35">
      <c r="A238" s="3" t="s">
        <v>75</v>
      </c>
      <c r="B238" s="16">
        <v>3.0268607449793141E-3</v>
      </c>
      <c r="C238" s="8" t="s">
        <v>261</v>
      </c>
      <c r="D238" s="33" t="str">
        <f t="shared" si="12"/>
        <v>No</v>
      </c>
      <c r="E238" s="74">
        <v>12371.62</v>
      </c>
      <c r="F238" s="19">
        <v>9023.4</v>
      </c>
      <c r="G238" s="19">
        <f>$B238*'CVS Payments'!E$20</f>
        <v>22143.414553959934</v>
      </c>
      <c r="H238" s="19">
        <f>$B238*'CVS Payments'!F$20</f>
        <v>22143.414553959934</v>
      </c>
      <c r="I238" s="19">
        <f>$B238*'CVS Payments'!G$20</f>
        <v>22143.414553959934</v>
      </c>
      <c r="J238" s="19">
        <f>$B238*'CVS Payments'!H$20</f>
        <v>22143.414553959934</v>
      </c>
      <c r="K238" s="19">
        <f>$B238*'CVS Payments'!I$20</f>
        <v>21037.121729421629</v>
      </c>
      <c r="L238" s="19">
        <f>$B238*'CVS Payments'!J$20</f>
        <v>19930.828859466244</v>
      </c>
      <c r="M238" s="19">
        <f>$B238*'CVS Payments'!K$20</f>
        <v>19913.271477528629</v>
      </c>
      <c r="N238" s="19">
        <f>$B238*'CVS Payments'!L$20</f>
        <v>19913.271477528629</v>
      </c>
      <c r="O238" s="39" t="s">
        <v>346</v>
      </c>
      <c r="P238" s="7">
        <f t="shared" si="13"/>
        <v>190763.17175978486</v>
      </c>
    </row>
    <row r="239" spans="1:16" x14ac:dyDescent="0.35">
      <c r="A239" s="3" t="s">
        <v>234</v>
      </c>
      <c r="B239" s="16">
        <v>8.1260410302400003E-3</v>
      </c>
      <c r="C239" s="8" t="s">
        <v>234</v>
      </c>
      <c r="D239" s="33" t="str">
        <f t="shared" si="12"/>
        <v>No</v>
      </c>
      <c r="E239" s="74">
        <v>33213.4</v>
      </c>
      <c r="F239" s="19">
        <v>24224.6</v>
      </c>
      <c r="G239" s="19">
        <f>$B239*'CVS Payments'!E$20</f>
        <v>59447.166677078734</v>
      </c>
      <c r="H239" s="19">
        <f>$B239*'CVS Payments'!F$20</f>
        <v>59447.166677078734</v>
      </c>
      <c r="I239" s="19">
        <f>$B239*'CVS Payments'!G$20</f>
        <v>59447.166677078734</v>
      </c>
      <c r="J239" s="19">
        <f>$B239*'CVS Payments'!H$20</f>
        <v>59447.166677078734</v>
      </c>
      <c r="K239" s="19">
        <f>$B239*'CVS Payments'!I$20</f>
        <v>56477.165199947754</v>
      </c>
      <c r="L239" s="19">
        <f>$B239*'CVS Payments'!J$20</f>
        <v>53507.163600888111</v>
      </c>
      <c r="M239" s="19">
        <f>$B239*'CVS Payments'!K$20</f>
        <v>53460.028295359007</v>
      </c>
      <c r="N239" s="19">
        <f>$B239*'CVS Payments'!L$20</f>
        <v>53460.028295359007</v>
      </c>
      <c r="O239" s="39" t="s">
        <v>346</v>
      </c>
      <c r="P239" s="7">
        <f t="shared" si="13"/>
        <v>512131.05209986877</v>
      </c>
    </row>
    <row r="240" spans="1:16" x14ac:dyDescent="0.35">
      <c r="A240" s="3" t="s">
        <v>34</v>
      </c>
      <c r="B240" s="16">
        <v>1.547383996257214E-4</v>
      </c>
      <c r="C240" s="8" t="s">
        <v>262</v>
      </c>
      <c r="D240" s="33" t="str">
        <f t="shared" si="12"/>
        <v>No</v>
      </c>
      <c r="E240" s="74">
        <v>632.46</v>
      </c>
      <c r="F240" s="19">
        <v>461.29</v>
      </c>
      <c r="G240" s="19">
        <f>$B240*'CVS Payments'!E$20</f>
        <v>1132.0099664354013</v>
      </c>
      <c r="H240" s="19">
        <f>$B240*'CVS Payments'!F$20</f>
        <v>1132.0099664354013</v>
      </c>
      <c r="I240" s="19">
        <f>$B240*'CVS Payments'!G$20</f>
        <v>1132.0099664354013</v>
      </c>
      <c r="J240" s="19">
        <f>$B240*'CVS Payments'!H$20</f>
        <v>1132.0099664354013</v>
      </c>
      <c r="K240" s="19">
        <f>$B240*'CVS Payments'!I$20</f>
        <v>1075.4543480540722</v>
      </c>
      <c r="L240" s="19">
        <f>$B240*'CVS Payments'!J$20</f>
        <v>1018.8987273509425</v>
      </c>
      <c r="M240" s="19">
        <f>$B240*'CVS Payments'!K$20</f>
        <v>1018.0011633691338</v>
      </c>
      <c r="N240" s="19">
        <f>$B240*'CVS Payments'!L$20</f>
        <v>1018.0011633691338</v>
      </c>
      <c r="O240" s="39" t="s">
        <v>346</v>
      </c>
      <c r="P240" s="7">
        <f t="shared" si="13"/>
        <v>9752.1452678848873</v>
      </c>
    </row>
    <row r="241" spans="1:16" x14ac:dyDescent="0.35">
      <c r="A241" s="3" t="s">
        <v>34</v>
      </c>
      <c r="B241" s="16">
        <v>2.3508376415386128E-3</v>
      </c>
      <c r="C241" s="8" t="s">
        <v>263</v>
      </c>
      <c r="D241" s="33" t="str">
        <f t="shared" si="12"/>
        <v>No</v>
      </c>
      <c r="E241" s="74">
        <v>9608.5300000000007</v>
      </c>
      <c r="F241" s="19">
        <v>7008.1</v>
      </c>
      <c r="G241" s="19">
        <f>$B241*'CVS Payments'!E$20</f>
        <v>17197.874904548578</v>
      </c>
      <c r="H241" s="19">
        <f>$B241*'CVS Payments'!F$20</f>
        <v>17197.874904548578</v>
      </c>
      <c r="I241" s="19">
        <f>$B241*'CVS Payments'!G$20</f>
        <v>17197.874904548578</v>
      </c>
      <c r="J241" s="19">
        <f>$B241*'CVS Payments'!H$20</f>
        <v>17197.874904548578</v>
      </c>
      <c r="K241" s="19">
        <f>$B241*'CVS Payments'!I$20</f>
        <v>16338.662990421857</v>
      </c>
      <c r="L241" s="19">
        <f>$B241*'CVS Payments'!J$20</f>
        <v>15479.451041021563</v>
      </c>
      <c r="M241" s="19">
        <f>$B241*'CVS Payments'!K$20</f>
        <v>15465.814948111019</v>
      </c>
      <c r="N241" s="19">
        <f>$B241*'CVS Payments'!L$20</f>
        <v>15465.814948111019</v>
      </c>
      <c r="O241" s="39" t="s">
        <v>346</v>
      </c>
      <c r="P241" s="7">
        <f t="shared" si="13"/>
        <v>148157.87354585977</v>
      </c>
    </row>
    <row r="242" spans="1:16" x14ac:dyDescent="0.35">
      <c r="A242" s="3" t="s">
        <v>34</v>
      </c>
      <c r="B242" s="16">
        <v>6.650644637706374E-7</v>
      </c>
      <c r="C242" s="8" t="s">
        <v>264</v>
      </c>
      <c r="D242" s="33" t="str">
        <f t="shared" si="12"/>
        <v>Yes</v>
      </c>
      <c r="E242" s="74">
        <v>44.37</v>
      </c>
      <c r="F242" s="19">
        <v>0</v>
      </c>
      <c r="G242" s="52">
        <f>$B242*'CVS Payments'!E$20</f>
        <v>4.8653702192305301</v>
      </c>
      <c r="H242" s="52">
        <f>$B242*'CVS Payments'!F$20</f>
        <v>4.8653702192305301</v>
      </c>
      <c r="I242" s="52">
        <f>$B242*'CVS Payments'!G$20</f>
        <v>4.8653702192305301</v>
      </c>
      <c r="J242" s="52">
        <f>$B242*'CVS Payments'!H$20</f>
        <v>4.8653702192305301</v>
      </c>
      <c r="K242" s="52">
        <f>$B242*'CVS Payments'!I$20</f>
        <v>4.6222946019114062</v>
      </c>
      <c r="L242" s="52">
        <f>$B242*'CVS Payments'!J$20</f>
        <v>4.3792189746132015</v>
      </c>
      <c r="M242" s="52">
        <f>$B242*'CVS Payments'!K$20</f>
        <v>4.3753612514513662</v>
      </c>
      <c r="N242" s="52">
        <f>$B242*'CVS Payments'!L$20</f>
        <v>4.3753612514513662</v>
      </c>
      <c r="O242" s="39" t="s">
        <v>346</v>
      </c>
      <c r="P242" s="7">
        <f>E243</f>
        <v>2169.83</v>
      </c>
    </row>
    <row r="243" spans="1:16" x14ac:dyDescent="0.35">
      <c r="A243" s="3" t="s">
        <v>22</v>
      </c>
      <c r="B243" s="16">
        <v>5.308730362373128E-4</v>
      </c>
      <c r="C243" s="8" t="s">
        <v>265</v>
      </c>
      <c r="D243" s="33" t="str">
        <f t="shared" ref="D243:D263" si="14">IF(B243&lt;0.000083,"Yes","No")</f>
        <v>No</v>
      </c>
      <c r="E243" s="74">
        <v>2169.83</v>
      </c>
      <c r="F243" s="19">
        <v>1582.59</v>
      </c>
      <c r="G243" s="19">
        <f>$B243*'CVS Payments'!E$20</f>
        <v>3883.6744427112881</v>
      </c>
      <c r="H243" s="19">
        <f>$B243*'CVS Payments'!F$20</f>
        <v>3883.6744427112881</v>
      </c>
      <c r="I243" s="19">
        <f>$B243*'CVS Payments'!G$20</f>
        <v>3883.6744427112881</v>
      </c>
      <c r="J243" s="19">
        <f>$B243*'CVS Payments'!H$20</f>
        <v>3883.6744427112881</v>
      </c>
      <c r="K243" s="19">
        <f>$B243*'CVS Payments'!I$20</f>
        <v>3689.6446936703505</v>
      </c>
      <c r="L243" s="19">
        <f>$B243*'CVS Payments'!J$20</f>
        <v>3495.6149366638319</v>
      </c>
      <c r="M243" s="19">
        <f>$B243*'CVS Payments'!K$20</f>
        <v>3492.5355942550145</v>
      </c>
      <c r="N243" s="19">
        <f>$B243*'CVS Payments'!L$20</f>
        <v>3492.5355942550145</v>
      </c>
      <c r="O243" s="39" t="s">
        <v>346</v>
      </c>
      <c r="P243" s="7">
        <f t="shared" si="13"/>
        <v>33457.44858968936</v>
      </c>
    </row>
    <row r="244" spans="1:16" x14ac:dyDescent="0.35">
      <c r="A244" s="3" t="s">
        <v>24</v>
      </c>
      <c r="B244" s="16">
        <v>6.2120900177538814E-5</v>
      </c>
      <c r="C244" s="8" t="s">
        <v>266</v>
      </c>
      <c r="D244" s="33" t="str">
        <f t="shared" si="14"/>
        <v>Yes</v>
      </c>
      <c r="E244" s="74">
        <v>4144.18</v>
      </c>
      <c r="F244" s="19">
        <v>0</v>
      </c>
      <c r="G244" s="52">
        <f>$B244*'CVS Payments'!E$20</f>
        <v>454.45395774419939</v>
      </c>
      <c r="H244" s="52">
        <f>$B244*'CVS Payments'!F$20</f>
        <v>454.45395774419939</v>
      </c>
      <c r="I244" s="52">
        <f>$B244*'CVS Payments'!G$20</f>
        <v>454.45395774419939</v>
      </c>
      <c r="J244" s="52">
        <f>$B244*'CVS Payments'!H$20</f>
        <v>454.45395774419939</v>
      </c>
      <c r="K244" s="52">
        <f>$B244*'CVS Payments'!I$20</f>
        <v>431.74927724832116</v>
      </c>
      <c r="L244" s="52">
        <f>$B244*'CVS Payments'!J$20</f>
        <v>409.04459582033854</v>
      </c>
      <c r="M244" s="52">
        <f>$B244*'CVS Payments'!K$20</f>
        <v>408.68426197526998</v>
      </c>
      <c r="N244" s="52">
        <f>$B244*'CVS Payments'!L$20</f>
        <v>408.68426197526998</v>
      </c>
      <c r="O244" s="39" t="s">
        <v>346</v>
      </c>
      <c r="P244" s="7">
        <f>E245</f>
        <v>1782.1</v>
      </c>
    </row>
    <row r="245" spans="1:16" x14ac:dyDescent="0.35">
      <c r="A245" s="3" t="s">
        <v>34</v>
      </c>
      <c r="B245" s="16">
        <v>2.6713434479427391E-5</v>
      </c>
      <c r="C245" s="8" t="s">
        <v>267</v>
      </c>
      <c r="D245" s="33" t="str">
        <f t="shared" si="14"/>
        <v>Yes</v>
      </c>
      <c r="E245" s="74">
        <v>1782.1</v>
      </c>
      <c r="F245" s="19">
        <v>0</v>
      </c>
      <c r="G245" s="52">
        <f>$B245*'CVS Payments'!E$20</f>
        <v>195.42579050561844</v>
      </c>
      <c r="H245" s="52">
        <f>$B245*'CVS Payments'!F$20</f>
        <v>195.42579050561844</v>
      </c>
      <c r="I245" s="52">
        <f>$B245*'CVS Payments'!G$20</f>
        <v>195.42579050561844</v>
      </c>
      <c r="J245" s="52">
        <f>$B245*'CVS Payments'!H$20</f>
        <v>195.42579050561844</v>
      </c>
      <c r="K245" s="52">
        <f>$B245*'CVS Payments'!I$20</f>
        <v>185.66224887841133</v>
      </c>
      <c r="L245" s="52">
        <f>$B245*'CVS Payments'!J$20</f>
        <v>175.89870685037766</v>
      </c>
      <c r="M245" s="52">
        <f>$B245*'CVS Payments'!K$20</f>
        <v>175.74375490130015</v>
      </c>
      <c r="N245" s="52">
        <f>$B245*'CVS Payments'!L$20</f>
        <v>175.74375490130015</v>
      </c>
      <c r="O245" s="39" t="s">
        <v>346</v>
      </c>
      <c r="P245" s="7">
        <f>E246</f>
        <v>91372.23</v>
      </c>
    </row>
    <row r="246" spans="1:16" x14ac:dyDescent="0.35">
      <c r="A246" s="3" t="s">
        <v>121</v>
      </c>
      <c r="B246" s="16">
        <v>2.2355271010240003E-2</v>
      </c>
      <c r="C246" s="8" t="s">
        <v>121</v>
      </c>
      <c r="D246" s="33" t="str">
        <f t="shared" si="14"/>
        <v>No</v>
      </c>
      <c r="E246" s="74">
        <v>91372.23</v>
      </c>
      <c r="F246" s="19">
        <v>66643.460000000006</v>
      </c>
      <c r="G246" s="19">
        <f>$B246*'CVS Payments'!E$20</f>
        <v>163543.04844283481</v>
      </c>
      <c r="H246" s="19">
        <f>$B246*'CVS Payments'!F$20</f>
        <v>163543.04844283481</v>
      </c>
      <c r="I246" s="19">
        <f>$B246*'CVS Payments'!G$20</f>
        <v>163543.04844283481</v>
      </c>
      <c r="J246" s="19">
        <f>$B246*'CVS Payments'!H$20</f>
        <v>163543.04844283481</v>
      </c>
      <c r="K246" s="19">
        <f>$B246*'CVS Payments'!I$20</f>
        <v>155372.37988787735</v>
      </c>
      <c r="L246" s="19">
        <f>$B246*'CVS Payments'!J$20</f>
        <v>147201.71099748614</v>
      </c>
      <c r="M246" s="19">
        <f>$B246*'CVS Payments'!K$20</f>
        <v>147072.03868530702</v>
      </c>
      <c r="N246" s="19">
        <f>$B246*'CVS Payments'!L$20</f>
        <v>147072.03868530702</v>
      </c>
      <c r="O246" s="39" t="s">
        <v>346</v>
      </c>
      <c r="P246" s="7">
        <f t="shared" si="13"/>
        <v>1408906.0520273168</v>
      </c>
    </row>
    <row r="247" spans="1:16" x14ac:dyDescent="0.35">
      <c r="A247" s="3" t="s">
        <v>268</v>
      </c>
      <c r="B247" s="16">
        <v>2.5489421581211444E-3</v>
      </c>
      <c r="C247" s="8" t="s">
        <v>268</v>
      </c>
      <c r="D247" s="33" t="str">
        <f t="shared" si="14"/>
        <v>No</v>
      </c>
      <c r="E247" s="74">
        <v>10418.24</v>
      </c>
      <c r="F247" s="19">
        <v>7598.67</v>
      </c>
      <c r="G247" s="19">
        <f>$B247*'CVS Payments'!E$20</f>
        <v>18647.135642088328</v>
      </c>
      <c r="H247" s="19">
        <f>$B247*'CVS Payments'!F$20</f>
        <v>18647.135642088328</v>
      </c>
      <c r="I247" s="19">
        <f>$B247*'CVS Payments'!G$20</f>
        <v>18647.135642088328</v>
      </c>
      <c r="J247" s="19">
        <f>$B247*'CVS Payments'!H$20</f>
        <v>18647.135642088328</v>
      </c>
      <c r="K247" s="19">
        <f>$B247*'CVS Payments'!I$20</f>
        <v>17715.518148825726</v>
      </c>
      <c r="L247" s="19">
        <f>$B247*'CVS Payments'!J$20</f>
        <v>16783.900617317056</v>
      </c>
      <c r="M247" s="19">
        <f>$B247*'CVS Payments'!K$20</f>
        <v>16769.115414171767</v>
      </c>
      <c r="N247" s="19">
        <f>$B247*'CVS Payments'!L$20</f>
        <v>16769.115414171767</v>
      </c>
      <c r="O247" s="39" t="s">
        <v>346</v>
      </c>
      <c r="P247" s="7">
        <f t="shared" si="13"/>
        <v>160643.10216283961</v>
      </c>
    </row>
    <row r="248" spans="1:16" x14ac:dyDescent="0.35">
      <c r="A248" s="3" t="s">
        <v>75</v>
      </c>
      <c r="B248" s="16">
        <v>2.0311040435780645E-3</v>
      </c>
      <c r="C248" s="8" t="s">
        <v>269</v>
      </c>
      <c r="D248" s="33" t="str">
        <f t="shared" si="14"/>
        <v>No</v>
      </c>
      <c r="E248" s="74">
        <v>8301.69</v>
      </c>
      <c r="F248" s="19">
        <v>6054.94</v>
      </c>
      <c r="G248" s="19">
        <f>$B248*'CVS Payments'!E$20</f>
        <v>14858.819955220884</v>
      </c>
      <c r="H248" s="19">
        <f>$B248*'CVS Payments'!F$20</f>
        <v>14858.819955220884</v>
      </c>
      <c r="I248" s="19">
        <f>$B248*'CVS Payments'!G$20</f>
        <v>14858.819955220884</v>
      </c>
      <c r="J248" s="19">
        <f>$B248*'CVS Payments'!H$20</f>
        <v>14858.819955220884</v>
      </c>
      <c r="K248" s="19">
        <f>$B248*'CVS Payments'!I$20</f>
        <v>14116.468053823286</v>
      </c>
      <c r="L248" s="19">
        <f>$B248*'CVS Payments'!J$20</f>
        <v>13374.116121949617</v>
      </c>
      <c r="M248" s="19">
        <f>$B248*'CVS Payments'!K$20</f>
        <v>13362.334651821768</v>
      </c>
      <c r="N248" s="19">
        <f>$B248*'CVS Payments'!L$20</f>
        <v>13362.334651821768</v>
      </c>
      <c r="O248" s="39" t="s">
        <v>346</v>
      </c>
      <c r="P248" s="7">
        <f t="shared" si="13"/>
        <v>128007.16330029997</v>
      </c>
    </row>
    <row r="249" spans="1:16" x14ac:dyDescent="0.35">
      <c r="A249" s="3" t="s">
        <v>75</v>
      </c>
      <c r="B249" s="16">
        <v>1.053645978224E-2</v>
      </c>
      <c r="C249" s="8" t="s">
        <v>271</v>
      </c>
      <c r="D249" s="33" t="str">
        <f t="shared" si="14"/>
        <v>No</v>
      </c>
      <c r="E249" s="74">
        <v>43065.45</v>
      </c>
      <c r="F249" s="19">
        <v>31410.32</v>
      </c>
      <c r="G249" s="19">
        <f>$B249*'CVS Payments'!E$20</f>
        <v>77080.915359672814</v>
      </c>
      <c r="H249" s="19">
        <f>$B249*'CVS Payments'!F$20</f>
        <v>77080.915359672814</v>
      </c>
      <c r="I249" s="19">
        <f>$B249*'CVS Payments'!G$20</f>
        <v>77080.915359672814</v>
      </c>
      <c r="J249" s="19">
        <f>$B249*'CVS Payments'!H$20</f>
        <v>77080.915359672814</v>
      </c>
      <c r="K249" s="19">
        <f>$B249*'CVS Payments'!I$20</f>
        <v>73229.925560269883</v>
      </c>
      <c r="L249" s="19">
        <f>$B249*'CVS Payments'!J$20</f>
        <v>69378.935602770711</v>
      </c>
      <c r="M249" s="19">
        <f>$B249*'CVS Payments'!K$20</f>
        <v>69317.818602600179</v>
      </c>
      <c r="N249" s="19">
        <f>$B249*'CVS Payments'!L$20</f>
        <v>69317.818602600179</v>
      </c>
      <c r="O249" s="39" t="s">
        <v>346</v>
      </c>
      <c r="P249" s="7">
        <f t="shared" si="13"/>
        <v>664043.92980693211</v>
      </c>
    </row>
    <row r="250" spans="1:16" x14ac:dyDescent="0.35">
      <c r="A250" s="3" t="s">
        <v>268</v>
      </c>
      <c r="B250" s="16">
        <v>3.5811995813821466E-4</v>
      </c>
      <c r="C250" s="8" t="s">
        <v>272</v>
      </c>
      <c r="D250" s="33" t="str">
        <f t="shared" si="14"/>
        <v>No</v>
      </c>
      <c r="E250" s="74">
        <v>1463.74</v>
      </c>
      <c r="F250" s="19">
        <v>1067.5899999999999</v>
      </c>
      <c r="G250" s="19">
        <f>$B250*'CVS Payments'!E$20</f>
        <v>2619.8756273326539</v>
      </c>
      <c r="H250" s="19">
        <f>$B250*'CVS Payments'!F$20</f>
        <v>2619.8756273326539</v>
      </c>
      <c r="I250" s="19">
        <f>$B250*'CVS Payments'!G$20</f>
        <v>2619.8756273326539</v>
      </c>
      <c r="J250" s="19">
        <f>$B250*'CVS Payments'!H$20</f>
        <v>2619.8756273326539</v>
      </c>
      <c r="K250" s="19">
        <f>$B250*'CVS Payments'!I$20</f>
        <v>2488.9857141876832</v>
      </c>
      <c r="L250" s="19">
        <f>$B250*'CVS Payments'!J$20</f>
        <v>2358.0957956692359</v>
      </c>
      <c r="M250" s="19">
        <f>$B250*'CVS Payments'!K$20</f>
        <v>2356.0185118381432</v>
      </c>
      <c r="N250" s="19">
        <f>$B250*'CVS Payments'!L$20</f>
        <v>2356.0185118381432</v>
      </c>
      <c r="O250" s="39" t="s">
        <v>346</v>
      </c>
      <c r="P250" s="7">
        <f t="shared" si="13"/>
        <v>22569.951042863824</v>
      </c>
    </row>
    <row r="251" spans="1:16" x14ac:dyDescent="0.35">
      <c r="A251" s="3" t="s">
        <v>55</v>
      </c>
      <c r="B251" s="16">
        <v>8.7972621758440581E-5</v>
      </c>
      <c r="C251" s="8" t="s">
        <v>273</v>
      </c>
      <c r="D251" s="33" t="str">
        <f t="shared" si="14"/>
        <v>No</v>
      </c>
      <c r="E251" s="74">
        <v>359.57</v>
      </c>
      <c r="F251" s="19">
        <v>262.26</v>
      </c>
      <c r="G251" s="19">
        <f>$B251*'CVS Payments'!E$20</f>
        <v>643.57576945918549</v>
      </c>
      <c r="H251" s="19">
        <f>$B251*'CVS Payments'!F$20</f>
        <v>643.57576945918549</v>
      </c>
      <c r="I251" s="19">
        <f>$B251*'CVS Payments'!G$20</f>
        <v>643.57576945918549</v>
      </c>
      <c r="J251" s="19">
        <f>$B251*'CVS Payments'!H$20</f>
        <v>643.57576945918549</v>
      </c>
      <c r="K251" s="19">
        <f>$B251*'CVS Payments'!I$20</f>
        <v>611.42249634656662</v>
      </c>
      <c r="L251" s="19">
        <f>$B251*'CVS Payments'!J$20</f>
        <v>579.26922191394647</v>
      </c>
      <c r="M251" s="19">
        <f>$B251*'CVS Payments'!K$20</f>
        <v>578.75893450715773</v>
      </c>
      <c r="N251" s="19">
        <f>$B251*'CVS Payments'!L$20</f>
        <v>578.75893450715773</v>
      </c>
      <c r="O251" s="39" t="s">
        <v>346</v>
      </c>
      <c r="P251" s="7">
        <f t="shared" si="13"/>
        <v>5544.3426651115697</v>
      </c>
    </row>
    <row r="252" spans="1:16" x14ac:dyDescent="0.35">
      <c r="A252" s="3" t="s">
        <v>28</v>
      </c>
      <c r="B252" s="16">
        <v>7.2444420150405935E-5</v>
      </c>
      <c r="C252" s="8" t="s">
        <v>274</v>
      </c>
      <c r="D252" s="33" t="str">
        <f t="shared" si="14"/>
        <v>Yes</v>
      </c>
      <c r="E252" s="74">
        <v>4832.88</v>
      </c>
      <c r="F252" s="19">
        <v>0</v>
      </c>
      <c r="G252" s="52">
        <f>$B252*'CVS Payments'!E$20</f>
        <v>529.97708274902823</v>
      </c>
      <c r="H252" s="52">
        <f>$B252*'CVS Payments'!F$20</f>
        <v>529.97708274902823</v>
      </c>
      <c r="I252" s="52">
        <f>$B252*'CVS Payments'!G$20</f>
        <v>529.97708274902823</v>
      </c>
      <c r="J252" s="52">
        <f>$B252*'CVS Payments'!H$20</f>
        <v>529.97708274902823</v>
      </c>
      <c r="K252" s="52">
        <f>$B252*'CVS Payments'!I$20</f>
        <v>503.49924021095666</v>
      </c>
      <c r="L252" s="52">
        <f>$B252*'CVS Payments'!J$20</f>
        <v>477.0213965858797</v>
      </c>
      <c r="M252" s="52">
        <f>$B252*'CVS Payments'!K$20</f>
        <v>476.60118090336454</v>
      </c>
      <c r="N252" s="52">
        <f>$B252*'CVS Payments'!L$20</f>
        <v>476.60118090336454</v>
      </c>
      <c r="O252" s="39" t="s">
        <v>346</v>
      </c>
      <c r="P252" s="7">
        <f>E253</f>
        <v>9194.84</v>
      </c>
    </row>
    <row r="253" spans="1:16" x14ac:dyDescent="0.35">
      <c r="A253" s="3" t="s">
        <v>22</v>
      </c>
      <c r="B253" s="16">
        <v>2.2496241948760823E-3</v>
      </c>
      <c r="C253" s="8" t="s">
        <v>275</v>
      </c>
      <c r="D253" s="33" t="str">
        <f t="shared" si="14"/>
        <v>No</v>
      </c>
      <c r="E253" s="74">
        <v>9194.84</v>
      </c>
      <c r="F253" s="19">
        <v>6706.37</v>
      </c>
      <c r="G253" s="19">
        <f>$B253*'CVS Payments'!E$20</f>
        <v>16457.434066098693</v>
      </c>
      <c r="H253" s="19">
        <f>$B253*'CVS Payments'!F$20</f>
        <v>16457.434066098693</v>
      </c>
      <c r="I253" s="19">
        <f>$B253*'CVS Payments'!G$20</f>
        <v>16457.434066098693</v>
      </c>
      <c r="J253" s="19">
        <f>$B253*'CVS Payments'!H$20</f>
        <v>16457.434066098693</v>
      </c>
      <c r="K253" s="19">
        <f>$B253*'CVS Payments'!I$20</f>
        <v>15635.214838198213</v>
      </c>
      <c r="L253" s="19">
        <f>$B253*'CVS Payments'!J$20</f>
        <v>14812.995576542837</v>
      </c>
      <c r="M253" s="19">
        <f>$B253*'CVS Payments'!K$20</f>
        <v>14799.946574777212</v>
      </c>
      <c r="N253" s="19">
        <f>$B253*'CVS Payments'!L$20</f>
        <v>14799.946574777212</v>
      </c>
      <c r="O253" s="39" t="s">
        <v>346</v>
      </c>
      <c r="P253" s="7">
        <f t="shared" si="13"/>
        <v>141779.04982869024</v>
      </c>
    </row>
    <row r="254" spans="1:16" x14ac:dyDescent="0.35">
      <c r="A254" s="3" t="s">
        <v>83</v>
      </c>
      <c r="B254" s="16">
        <v>3.1110081270188996E-5</v>
      </c>
      <c r="C254" s="8" t="s">
        <v>276</v>
      </c>
      <c r="D254" s="33" t="str">
        <f t="shared" si="14"/>
        <v>Yes</v>
      </c>
      <c r="E254" s="74">
        <v>2075.4</v>
      </c>
      <c r="F254" s="19">
        <v>0</v>
      </c>
      <c r="G254" s="52">
        <f>$B254*'CVS Payments'!E$20</f>
        <v>227.5900625807902</v>
      </c>
      <c r="H254" s="52">
        <f>$B254*'CVS Payments'!F$20</f>
        <v>227.5900625807902</v>
      </c>
      <c r="I254" s="52">
        <f>$B254*'CVS Payments'!G$20</f>
        <v>227.5900625807902</v>
      </c>
      <c r="J254" s="52">
        <f>$B254*'CVS Payments'!H$20</f>
        <v>227.5900625807902</v>
      </c>
      <c r="K254" s="52">
        <f>$B254*'CVS Payments'!I$20</f>
        <v>216.21958254232092</v>
      </c>
      <c r="L254" s="52">
        <f>$B254*'CVS Payments'!J$20</f>
        <v>204.84910203705476</v>
      </c>
      <c r="M254" s="52">
        <f>$B254*'CVS Payments'!K$20</f>
        <v>204.66864722760346</v>
      </c>
      <c r="N254" s="52">
        <f>$B254*'CVS Payments'!L$20</f>
        <v>204.66864722760346</v>
      </c>
      <c r="O254" s="39" t="s">
        <v>346</v>
      </c>
      <c r="P254" s="7">
        <f>E255</f>
        <v>5067.17</v>
      </c>
    </row>
    <row r="255" spans="1:16" x14ac:dyDescent="0.35">
      <c r="A255" s="3" t="s">
        <v>254</v>
      </c>
      <c r="B255" s="16">
        <v>7.5956312712067208E-5</v>
      </c>
      <c r="C255" s="8" t="s">
        <v>277</v>
      </c>
      <c r="D255" s="33" t="str">
        <f t="shared" si="14"/>
        <v>Yes</v>
      </c>
      <c r="E255" s="74">
        <v>5067.17</v>
      </c>
      <c r="F255" s="19">
        <v>0</v>
      </c>
      <c r="G255" s="52">
        <f>$B255*'CVS Payments'!E$20</f>
        <v>555.66881402236936</v>
      </c>
      <c r="H255" s="52">
        <f>$B255*'CVS Payments'!F$20</f>
        <v>555.66881402236936</v>
      </c>
      <c r="I255" s="52">
        <f>$B255*'CVS Payments'!G$20</f>
        <v>555.66881402236936</v>
      </c>
      <c r="J255" s="52">
        <f>$B255*'CVS Payments'!H$20</f>
        <v>555.66881402236936</v>
      </c>
      <c r="K255" s="52">
        <f>$B255*'CVS Payments'!I$20</f>
        <v>527.90740350121189</v>
      </c>
      <c r="L255" s="52">
        <f>$B255*'CVS Payments'!J$20</f>
        <v>500.14599184035404</v>
      </c>
      <c r="M255" s="52">
        <f>$B255*'CVS Payments'!K$20</f>
        <v>499.70540533664035</v>
      </c>
      <c r="N255" s="52">
        <f>$B255*'CVS Payments'!L$20</f>
        <v>499.70540533664035</v>
      </c>
      <c r="O255" s="39" t="s">
        <v>346</v>
      </c>
      <c r="P255" s="7">
        <f>E256</f>
        <v>2839.63</v>
      </c>
    </row>
    <row r="256" spans="1:16" x14ac:dyDescent="0.35">
      <c r="A256" s="3" t="s">
        <v>278</v>
      </c>
      <c r="B256" s="16">
        <v>6.9474875120000001E-4</v>
      </c>
      <c r="C256" s="8" t="s">
        <v>279</v>
      </c>
      <c r="D256" s="33" t="str">
        <f t="shared" si="14"/>
        <v>No</v>
      </c>
      <c r="E256" s="74">
        <v>2839.63</v>
      </c>
      <c r="F256" s="19">
        <v>2071.12</v>
      </c>
      <c r="G256" s="19">
        <f>$B256*'CVS Payments'!E$20</f>
        <v>5082.5296915906538</v>
      </c>
      <c r="H256" s="19">
        <f>$B256*'CVS Payments'!F$20</f>
        <v>5082.5296915906538</v>
      </c>
      <c r="I256" s="19">
        <f>$B256*'CVS Payments'!G$20</f>
        <v>5082.5296915906538</v>
      </c>
      <c r="J256" s="19">
        <f>$B256*'CVS Payments'!H$20</f>
        <v>5082.5296915906538</v>
      </c>
      <c r="K256" s="19">
        <f>$B256*'CVS Payments'!I$20</f>
        <v>4828.6047102103958</v>
      </c>
      <c r="L256" s="19">
        <f>$B256*'CVS Payments'!J$20</f>
        <v>4574.6797184056531</v>
      </c>
      <c r="M256" s="19">
        <f>$B256*'CVS Payments'!K$20</f>
        <v>4570.6498107874277</v>
      </c>
      <c r="N256" s="19">
        <f>$B256*'CVS Payments'!L$20</f>
        <v>4570.6498107874277</v>
      </c>
      <c r="O256" s="39" t="s">
        <v>346</v>
      </c>
      <c r="P256" s="7">
        <f t="shared" si="13"/>
        <v>43785.452816553523</v>
      </c>
    </row>
    <row r="257" spans="1:16" x14ac:dyDescent="0.35">
      <c r="A257" s="3" t="s">
        <v>22</v>
      </c>
      <c r="B257" s="16">
        <v>2.8792492159318973E-4</v>
      </c>
      <c r="C257" s="8" t="s">
        <v>280</v>
      </c>
      <c r="D257" s="33" t="str">
        <f t="shared" si="14"/>
        <v>No</v>
      </c>
      <c r="E257" s="74">
        <v>1176.83</v>
      </c>
      <c r="F257" s="19">
        <v>858.34</v>
      </c>
      <c r="G257" s="19">
        <f>$B257*'CVS Payments'!E$20</f>
        <v>2106.3542185843048</v>
      </c>
      <c r="H257" s="19">
        <f>$B257*'CVS Payments'!F$20</f>
        <v>2106.3542185843048</v>
      </c>
      <c r="I257" s="19">
        <f>$B257*'CVS Payments'!G$20</f>
        <v>2106.3542185843048</v>
      </c>
      <c r="J257" s="19">
        <f>$B257*'CVS Payments'!H$20</f>
        <v>2106.3542185843048</v>
      </c>
      <c r="K257" s="19">
        <f>$B257*'CVS Payments'!I$20</f>
        <v>2001.120016682996</v>
      </c>
      <c r="L257" s="19">
        <f>$B257*'CVS Payments'!J$20</f>
        <v>1895.8858104614653</v>
      </c>
      <c r="M257" s="19">
        <f>$B257*'CVS Payments'!K$20</f>
        <v>1894.2156947066674</v>
      </c>
      <c r="N257" s="19">
        <f>$B257*'CVS Payments'!L$20</f>
        <v>1894.2156947066674</v>
      </c>
      <c r="O257" s="39" t="s">
        <v>346</v>
      </c>
      <c r="P257" s="7">
        <f t="shared" si="13"/>
        <v>18146.024090895018</v>
      </c>
    </row>
    <row r="258" spans="1:16" x14ac:dyDescent="0.35">
      <c r="A258" s="3" t="s">
        <v>34</v>
      </c>
      <c r="B258" s="16">
        <v>1.4103252340808051E-3</v>
      </c>
      <c r="C258" s="8" t="s">
        <v>281</v>
      </c>
      <c r="D258" s="33" t="str">
        <f t="shared" si="14"/>
        <v>No</v>
      </c>
      <c r="E258" s="74">
        <v>5764.39</v>
      </c>
      <c r="F258" s="19">
        <v>4204.33</v>
      </c>
      <c r="G258" s="19">
        <f>$B258*'CVS Payments'!E$20</f>
        <v>10317.427508339262</v>
      </c>
      <c r="H258" s="19">
        <f>$B258*'CVS Payments'!F$20</f>
        <v>10317.427508339262</v>
      </c>
      <c r="I258" s="19">
        <f>$B258*'CVS Payments'!G$20</f>
        <v>10317.427508339262</v>
      </c>
      <c r="J258" s="19">
        <f>$B258*'CVS Payments'!H$20</f>
        <v>10317.427508339262</v>
      </c>
      <c r="K258" s="19">
        <f>$B258*'CVS Payments'!I$20</f>
        <v>9801.965180144327</v>
      </c>
      <c r="L258" s="19">
        <f>$B258*'CVS Payments'!J$20</f>
        <v>9286.5028307879093</v>
      </c>
      <c r="M258" s="19">
        <f>$B258*'CVS Payments'!K$20</f>
        <v>9278.3222037696069</v>
      </c>
      <c r="N258" s="19">
        <f>$B258*'CVS Payments'!L$20</f>
        <v>9278.3222037696069</v>
      </c>
      <c r="O258" s="39" t="s">
        <v>346</v>
      </c>
      <c r="P258" s="7">
        <f t="shared" si="13"/>
        <v>88883.542451828514</v>
      </c>
    </row>
    <row r="259" spans="1:16" x14ac:dyDescent="0.35">
      <c r="A259" s="3" t="s">
        <v>282</v>
      </c>
      <c r="B259" s="16">
        <v>4.9641098763200005E-3</v>
      </c>
      <c r="C259" s="8" t="s">
        <v>282</v>
      </c>
      <c r="D259" s="33" t="str">
        <f t="shared" si="14"/>
        <v>No</v>
      </c>
      <c r="E259" s="74">
        <v>20289.7</v>
      </c>
      <c r="F259" s="19">
        <v>14798.54</v>
      </c>
      <c r="G259" s="19">
        <f>$B259*'CVS Payments'!E$20</f>
        <v>36315.626037666218</v>
      </c>
      <c r="H259" s="19">
        <f>$B259*'CVS Payments'!F$20</f>
        <v>36315.626037666218</v>
      </c>
      <c r="I259" s="19">
        <f>$B259*'CVS Payments'!G$20</f>
        <v>36315.626037666218</v>
      </c>
      <c r="J259" s="19">
        <f>$B259*'CVS Payments'!H$20</f>
        <v>36315.626037666218</v>
      </c>
      <c r="K259" s="19">
        <f>$B259*'CVS Payments'!I$20</f>
        <v>34501.28451386081</v>
      </c>
      <c r="L259" s="19">
        <f>$B259*'CVS Payments'!J$20</f>
        <v>32686.942915570515</v>
      </c>
      <c r="M259" s="19">
        <f>$B259*'CVS Payments'!K$20</f>
        <v>32658.148471285818</v>
      </c>
      <c r="N259" s="19">
        <f>$B259*'CVS Payments'!L$20</f>
        <v>32658.148471285818</v>
      </c>
      <c r="O259" s="39" t="s">
        <v>346</v>
      </c>
      <c r="P259" s="7">
        <f t="shared" si="13"/>
        <v>312855.26852266787</v>
      </c>
    </row>
    <row r="260" spans="1:16" x14ac:dyDescent="0.35">
      <c r="A260" s="3" t="s">
        <v>60</v>
      </c>
      <c r="B260" s="16">
        <v>5.757676198157949E-5</v>
      </c>
      <c r="C260" s="8" t="s">
        <v>283</v>
      </c>
      <c r="D260" s="33" t="str">
        <f t="shared" si="14"/>
        <v>Yes</v>
      </c>
      <c r="E260" s="74">
        <v>3841.04</v>
      </c>
      <c r="F260" s="19">
        <v>0</v>
      </c>
      <c r="G260" s="52">
        <f>$B260*'CVS Payments'!E$20</f>
        <v>421.21069208339395</v>
      </c>
      <c r="H260" s="52">
        <f>$B260*'CVS Payments'!F$20</f>
        <v>421.21069208339395</v>
      </c>
      <c r="I260" s="52">
        <f>$B260*'CVS Payments'!G$20</f>
        <v>421.21069208339395</v>
      </c>
      <c r="J260" s="52">
        <f>$B260*'CVS Payments'!H$20</f>
        <v>421.21069208339395</v>
      </c>
      <c r="K260" s="52">
        <f>$B260*'CVS Payments'!I$20</f>
        <v>400.16685690001935</v>
      </c>
      <c r="L260" s="52">
        <f>$B260*'CVS Payments'!J$20</f>
        <v>379.12302085272376</v>
      </c>
      <c r="M260" s="52">
        <f>$B260*'CVS Payments'!K$20</f>
        <v>378.78904539563723</v>
      </c>
      <c r="N260" s="52">
        <f>$B260*'CVS Payments'!L$20</f>
        <v>378.78904539563723</v>
      </c>
      <c r="O260" s="39" t="s">
        <v>346</v>
      </c>
      <c r="P260" s="7">
        <f>E261</f>
        <v>20.420000000000002</v>
      </c>
    </row>
    <row r="261" spans="1:16" x14ac:dyDescent="0.35">
      <c r="A261" s="3" t="s">
        <v>168</v>
      </c>
      <c r="B261" s="16">
        <v>3.0609535252973091E-7</v>
      </c>
      <c r="C261" s="8" t="s">
        <v>284</v>
      </c>
      <c r="D261" s="33" t="str">
        <f t="shared" si="14"/>
        <v>Yes</v>
      </c>
      <c r="E261" s="74">
        <v>20.420000000000002</v>
      </c>
      <c r="F261" s="19">
        <v>0</v>
      </c>
      <c r="G261" s="52">
        <f>$B261*'CVS Payments'!E$20</f>
        <v>2.2392824960147486</v>
      </c>
      <c r="H261" s="52">
        <f>$B261*'CVS Payments'!F$20</f>
        <v>2.2392824960147486</v>
      </c>
      <c r="I261" s="52">
        <f>$B261*'CVS Payments'!G$20</f>
        <v>2.2392824960147486</v>
      </c>
      <c r="J261" s="52">
        <f>$B261*'CVS Payments'!H$20</f>
        <v>2.2392824960147486</v>
      </c>
      <c r="K261" s="52">
        <f>$B261*'CVS Payments'!I$20</f>
        <v>2.1274071503484988</v>
      </c>
      <c r="L261" s="52">
        <f>$B261*'CVS Payments'!J$20</f>
        <v>2.0155318000893852</v>
      </c>
      <c r="M261" s="52">
        <f>$B261*'CVS Payments'!K$20</f>
        <v>2.0137562862925886</v>
      </c>
      <c r="N261" s="52">
        <f>$B261*'CVS Payments'!L$20</f>
        <v>2.0137562862925886</v>
      </c>
      <c r="O261" s="39" t="s">
        <v>346</v>
      </c>
      <c r="P261" s="7">
        <f>E262</f>
        <v>3144.31</v>
      </c>
    </row>
    <row r="262" spans="1:16" x14ac:dyDescent="0.35">
      <c r="A262" s="3" t="s">
        <v>22</v>
      </c>
      <c r="B262" s="16">
        <v>7.6929149136000007E-4</v>
      </c>
      <c r="C262" s="8" t="s">
        <v>285</v>
      </c>
      <c r="D262" s="33" t="str">
        <f t="shared" si="14"/>
        <v>No</v>
      </c>
      <c r="E262" s="74">
        <v>3144.31</v>
      </c>
      <c r="F262" s="19">
        <v>2293.34</v>
      </c>
      <c r="G262" s="19">
        <f>$B262*'CVS Payments'!E$20</f>
        <v>5627.8573219049713</v>
      </c>
      <c r="H262" s="19">
        <f>$B262*'CVS Payments'!F$20</f>
        <v>5627.8573219049713</v>
      </c>
      <c r="I262" s="19">
        <f>$B262*'CVS Payments'!G$20</f>
        <v>5627.8573219049713</v>
      </c>
      <c r="J262" s="19">
        <f>$B262*'CVS Payments'!H$20</f>
        <v>5627.8573219049713</v>
      </c>
      <c r="K262" s="19">
        <f>$B262*'CVS Payments'!I$20</f>
        <v>5346.6875791998918</v>
      </c>
      <c r="L262" s="19">
        <f>$B262*'CVS Payments'!J$20</f>
        <v>5065.5178249518385</v>
      </c>
      <c r="M262" s="19">
        <f>$B262*'CVS Payments'!K$20</f>
        <v>5061.0555302930679</v>
      </c>
      <c r="N262" s="19">
        <f>$B262*'CVS Payments'!L$20</f>
        <v>5061.0555302930679</v>
      </c>
      <c r="O262" s="39" t="s">
        <v>346</v>
      </c>
      <c r="P262" s="7">
        <f t="shared" ref="P262:P283" si="15">SUM(E262:O262)</f>
        <v>48483.395752357748</v>
      </c>
    </row>
    <row r="263" spans="1:16" x14ac:dyDescent="0.35">
      <c r="A263" s="3" t="s">
        <v>31</v>
      </c>
      <c r="B263" s="16">
        <v>4.5586529889378655E-3</v>
      </c>
      <c r="C263" s="8" t="s">
        <v>31</v>
      </c>
      <c r="D263" s="33" t="str">
        <f t="shared" si="14"/>
        <v>No</v>
      </c>
      <c r="E263" s="74">
        <v>19156.010000000002</v>
      </c>
      <c r="F263" s="19">
        <v>13589.83</v>
      </c>
      <c r="G263" s="19">
        <f>$B263*'CVS Payments'!E$20</f>
        <v>33349.450617818082</v>
      </c>
      <c r="H263" s="19">
        <f>$B263*'CVS Payments'!F$20</f>
        <v>33349.450617818082</v>
      </c>
      <c r="I263" s="19">
        <f>$B263*'CVS Payments'!G$20</f>
        <v>33349.450617818082</v>
      </c>
      <c r="J263" s="19">
        <f>$B263*'CVS Payments'!H$20</f>
        <v>33349.450617818082</v>
      </c>
      <c r="K263" s="19">
        <f>$B263*'CVS Payments'!I$20</f>
        <v>31683.300267298233</v>
      </c>
      <c r="L263" s="19">
        <f>$B263*'CVS Payments'!J$20</f>
        <v>30017.149848377248</v>
      </c>
      <c r="M263" s="19">
        <f>$B263*'CVS Payments'!K$20</f>
        <v>29990.707266973201</v>
      </c>
      <c r="N263" s="19">
        <f>$B263*'CVS Payments'!L$20</f>
        <v>29990.707266973201</v>
      </c>
      <c r="O263" s="39" t="s">
        <v>346</v>
      </c>
      <c r="P263" s="7">
        <f t="shared" si="15"/>
        <v>287825.50712089421</v>
      </c>
    </row>
    <row r="264" spans="1:16" x14ac:dyDescent="0.35">
      <c r="A264" s="3" t="s">
        <v>63</v>
      </c>
      <c r="B264" s="16">
        <v>5.1656580704585642E-5</v>
      </c>
      <c r="C264" s="8" t="s">
        <v>286</v>
      </c>
      <c r="D264" s="8" t="s">
        <v>337</v>
      </c>
      <c r="E264" s="74">
        <v>0</v>
      </c>
      <c r="F264" s="19">
        <v>0</v>
      </c>
      <c r="G264" s="19">
        <v>0</v>
      </c>
      <c r="H264" s="19">
        <v>0</v>
      </c>
      <c r="I264" s="19">
        <v>0</v>
      </c>
      <c r="J264" s="19">
        <v>0</v>
      </c>
      <c r="K264" s="19">
        <v>0</v>
      </c>
      <c r="L264" s="19">
        <v>0</v>
      </c>
      <c r="M264" s="19">
        <v>0</v>
      </c>
      <c r="N264" s="19">
        <v>0</v>
      </c>
      <c r="O264" s="39" t="s">
        <v>346</v>
      </c>
      <c r="P264" s="7">
        <f t="shared" si="15"/>
        <v>0</v>
      </c>
    </row>
    <row r="265" spans="1:16" x14ac:dyDescent="0.35">
      <c r="A265" s="3" t="s">
        <v>14</v>
      </c>
      <c r="B265" s="16">
        <v>3.4487897129946177E-4</v>
      </c>
      <c r="C265" s="8" t="s">
        <v>287</v>
      </c>
      <c r="D265" s="33" t="str">
        <f t="shared" ref="D265:D282" si="16">IF(B265&lt;0.000083,"Yes","No")</f>
        <v>No</v>
      </c>
      <c r="E265" s="74">
        <v>1409.62</v>
      </c>
      <c r="F265" s="19">
        <v>1028.1199999999999</v>
      </c>
      <c r="G265" s="19">
        <f>$B265*'CVS Payments'!E$20</f>
        <v>2523.0093736867379</v>
      </c>
      <c r="H265" s="19">
        <f>$B265*'CVS Payments'!F$20</f>
        <v>2523.0093736867379</v>
      </c>
      <c r="I265" s="19">
        <f>$B265*'CVS Payments'!G$20</f>
        <v>2523.0093736867379</v>
      </c>
      <c r="J265" s="19">
        <f>$B265*'CVS Payments'!H$20</f>
        <v>2523.0093736867379</v>
      </c>
      <c r="K265" s="19">
        <f>$B265*'CVS Payments'!I$20</f>
        <v>2396.9589328411835</v>
      </c>
      <c r="L265" s="19">
        <f>$B265*'CVS Payments'!J$20</f>
        <v>2270.9084868208297</v>
      </c>
      <c r="M265" s="19">
        <f>$B265*'CVS Payments'!K$20</f>
        <v>2268.9080076671721</v>
      </c>
      <c r="N265" s="19">
        <f>$B265*'CVS Payments'!L$20</f>
        <v>2268.9080076671721</v>
      </c>
      <c r="O265" s="39" t="s">
        <v>346</v>
      </c>
      <c r="P265" s="7">
        <f t="shared" si="15"/>
        <v>21735.460929743309</v>
      </c>
    </row>
    <row r="266" spans="1:16" x14ac:dyDescent="0.35">
      <c r="A266" s="3" t="s">
        <v>75</v>
      </c>
      <c r="B266" s="16">
        <v>1.3154129039520002E-2</v>
      </c>
      <c r="C266" s="8" t="s">
        <v>288</v>
      </c>
      <c r="D266" s="33" t="str">
        <f t="shared" si="16"/>
        <v>No</v>
      </c>
      <c r="E266" s="74">
        <v>53764.59</v>
      </c>
      <c r="F266" s="19">
        <v>39213.870000000003</v>
      </c>
      <c r="G266" s="19">
        <f>$B266*'CVS Payments'!E$20</f>
        <v>96230.83351340791</v>
      </c>
      <c r="H266" s="19">
        <f>$B266*'CVS Payments'!F$20</f>
        <v>96230.83351340791</v>
      </c>
      <c r="I266" s="19">
        <f>$B266*'CVS Payments'!G$20</f>
        <v>96230.83351340791</v>
      </c>
      <c r="J266" s="19">
        <f>$B266*'CVS Payments'!H$20</f>
        <v>96230.83351340791</v>
      </c>
      <c r="K266" s="19">
        <f>$B266*'CVS Payments'!I$20</f>
        <v>91423.107028596889</v>
      </c>
      <c r="L266" s="19">
        <f>$B266*'CVS Payments'!J$20</f>
        <v>86615.380346412334</v>
      </c>
      <c r="M266" s="19">
        <f>$B266*'CVS Payments'!K$20</f>
        <v>86539.079489827956</v>
      </c>
      <c r="N266" s="19">
        <f>$B266*'CVS Payments'!L$20</f>
        <v>86539.079489827956</v>
      </c>
      <c r="O266" s="39" t="s">
        <v>346</v>
      </c>
      <c r="P266" s="7">
        <f t="shared" si="15"/>
        <v>829018.44040829677</v>
      </c>
    </row>
    <row r="267" spans="1:16" x14ac:dyDescent="0.35">
      <c r="A267" s="3" t="s">
        <v>75</v>
      </c>
      <c r="B267" s="16">
        <v>4.8332605371401058E-4</v>
      </c>
      <c r="C267" s="8" t="s">
        <v>289</v>
      </c>
      <c r="D267" s="33" t="str">
        <f t="shared" si="16"/>
        <v>No</v>
      </c>
      <c r="E267" s="74">
        <v>1975.49</v>
      </c>
      <c r="F267" s="19">
        <v>1440.85</v>
      </c>
      <c r="G267" s="19">
        <f>$B267*'CVS Payments'!E$20</f>
        <v>3535.8379766466542</v>
      </c>
      <c r="H267" s="19">
        <f>$B267*'CVS Payments'!F$20</f>
        <v>3535.8379766466542</v>
      </c>
      <c r="I267" s="19">
        <f>$B267*'CVS Payments'!G$20</f>
        <v>3535.8379766466542</v>
      </c>
      <c r="J267" s="19">
        <f>$B267*'CVS Payments'!H$20</f>
        <v>3535.8379766466542</v>
      </c>
      <c r="K267" s="19">
        <f>$B267*'CVS Payments'!I$20</f>
        <v>3359.1862605004335</v>
      </c>
      <c r="L267" s="19">
        <f>$B267*'CVS Payments'!J$20</f>
        <v>3182.5345371020589</v>
      </c>
      <c r="M267" s="19">
        <f>$B267*'CVS Payments'!K$20</f>
        <v>3179.73099216213</v>
      </c>
      <c r="N267" s="19">
        <f>$B267*'CVS Payments'!L$20</f>
        <v>3179.73099216213</v>
      </c>
      <c r="O267" s="39" t="s">
        <v>346</v>
      </c>
      <c r="P267" s="7">
        <f t="shared" si="15"/>
        <v>30460.874688513373</v>
      </c>
    </row>
    <row r="268" spans="1:16" x14ac:dyDescent="0.35">
      <c r="A268" s="3" t="s">
        <v>28</v>
      </c>
      <c r="B268" s="16">
        <v>2.6615292034240005E-2</v>
      </c>
      <c r="C268" s="8" t="s">
        <v>28</v>
      </c>
      <c r="D268" s="33" t="str">
        <f t="shared" si="16"/>
        <v>No</v>
      </c>
      <c r="E268" s="74">
        <v>108784.12</v>
      </c>
      <c r="F268" s="19">
        <v>79343.039999999994</v>
      </c>
      <c r="G268" s="19">
        <f>$B268*'CVS Payments'!E$20</f>
        <v>194707.8159992827</v>
      </c>
      <c r="H268" s="19">
        <f>$B268*'CVS Payments'!F$20</f>
        <v>194707.8159992827</v>
      </c>
      <c r="I268" s="19">
        <f>$B268*'CVS Payments'!G$20</f>
        <v>194707.8159992827</v>
      </c>
      <c r="J268" s="19">
        <f>$B268*'CVS Payments'!H$20</f>
        <v>194707.8159992827</v>
      </c>
      <c r="K268" s="19">
        <f>$B268*'CVS Payments'!I$20</f>
        <v>184980.14463240176</v>
      </c>
      <c r="L268" s="19">
        <f>$B268*'CVS Payments'!J$20</f>
        <v>175252.47286616682</v>
      </c>
      <c r="M268" s="19">
        <f>$B268*'CVS Payments'!K$20</f>
        <v>175098.09019481289</v>
      </c>
      <c r="N268" s="19">
        <f>$B268*'CVS Payments'!L$20</f>
        <v>175098.09019481289</v>
      </c>
      <c r="O268" s="39" t="s">
        <v>346</v>
      </c>
      <c r="P268" s="7">
        <f t="shared" si="15"/>
        <v>1677387.2218853254</v>
      </c>
    </row>
    <row r="269" spans="1:16" x14ac:dyDescent="0.35">
      <c r="A269" s="3" t="s">
        <v>34</v>
      </c>
      <c r="B269" s="16">
        <v>1.306353444363766E-3</v>
      </c>
      <c r="C269" s="8" t="s">
        <v>290</v>
      </c>
      <c r="D269" s="33" t="str">
        <f t="shared" si="16"/>
        <v>No</v>
      </c>
      <c r="E269" s="74">
        <v>5339.43</v>
      </c>
      <c r="F269" s="19">
        <v>3894.38</v>
      </c>
      <c r="G269" s="19">
        <f>$B269*'CVS Payments'!E$20</f>
        <v>9556.8076332953315</v>
      </c>
      <c r="H269" s="19">
        <f>$B269*'CVS Payments'!F$20</f>
        <v>9556.8076332953315</v>
      </c>
      <c r="I269" s="19">
        <f>$B269*'CVS Payments'!G$20</f>
        <v>9556.8076332953315</v>
      </c>
      <c r="J269" s="19">
        <f>$B269*'CVS Payments'!H$20</f>
        <v>9556.8076332953315</v>
      </c>
      <c r="K269" s="19">
        <f>$B269*'CVS Payments'!I$20</f>
        <v>9079.3461431333817</v>
      </c>
      <c r="L269" s="19">
        <f>$B269*'CVS Payments'!J$20</f>
        <v>8601.8846333700149</v>
      </c>
      <c r="M269" s="19">
        <f>$B269*'CVS Payments'!K$20</f>
        <v>8594.3070973349477</v>
      </c>
      <c r="N269" s="19">
        <f>$B269*'CVS Payments'!L$20</f>
        <v>8594.3070973349477</v>
      </c>
      <c r="O269" s="39" t="s">
        <v>346</v>
      </c>
      <c r="P269" s="7">
        <f t="shared" si="15"/>
        <v>82330.885504354621</v>
      </c>
    </row>
    <row r="270" spans="1:16" x14ac:dyDescent="0.35">
      <c r="A270" s="3" t="s">
        <v>22</v>
      </c>
      <c r="B270" s="16">
        <v>9.3847771248000008E-4</v>
      </c>
      <c r="C270" s="8" t="s">
        <v>291</v>
      </c>
      <c r="D270" s="33" t="str">
        <f t="shared" si="16"/>
        <v>No</v>
      </c>
      <c r="E270" s="74">
        <v>3835.82</v>
      </c>
      <c r="F270" s="19">
        <v>2797.7</v>
      </c>
      <c r="G270" s="19">
        <f>$B270*'CVS Payments'!E$20</f>
        <v>6865.5623062826699</v>
      </c>
      <c r="H270" s="19">
        <f>$B270*'CVS Payments'!F$20</f>
        <v>6865.5623062826699</v>
      </c>
      <c r="I270" s="19">
        <f>$B270*'CVS Payments'!G$20</f>
        <v>6865.5623062826699</v>
      </c>
      <c r="J270" s="19">
        <f>$B270*'CVS Payments'!H$20</f>
        <v>6865.5623062826699</v>
      </c>
      <c r="K270" s="19">
        <f>$B270*'CVS Payments'!I$20</f>
        <v>6522.5563847093472</v>
      </c>
      <c r="L270" s="19">
        <f>$B270*'CVS Payments'!J$20</f>
        <v>6179.5504490544645</v>
      </c>
      <c r="M270" s="19">
        <f>$B270*'CVS Payments'!K$20</f>
        <v>6174.106785461654</v>
      </c>
      <c r="N270" s="19">
        <f>$B270*'CVS Payments'!L$20</f>
        <v>6174.106785461654</v>
      </c>
      <c r="O270" s="39" t="s">
        <v>346</v>
      </c>
      <c r="P270" s="7">
        <f t="shared" si="15"/>
        <v>59146.089629817805</v>
      </c>
    </row>
    <row r="271" spans="1:16" x14ac:dyDescent="0.35">
      <c r="A271" s="3" t="s">
        <v>22</v>
      </c>
      <c r="B271" s="16">
        <v>0.11408752734624</v>
      </c>
      <c r="C271" s="8" t="s">
        <v>22</v>
      </c>
      <c r="D271" s="33" t="str">
        <f t="shared" si="16"/>
        <v>No</v>
      </c>
      <c r="E271" s="74">
        <v>466307.54</v>
      </c>
      <c r="F271" s="19">
        <v>340107.14</v>
      </c>
      <c r="G271" s="19">
        <f>$B271*'CVS Payments'!E$20</f>
        <v>834622.93984102586</v>
      </c>
      <c r="H271" s="19">
        <f>$B271*'CVS Payments'!F$20</f>
        <v>834622.93984102586</v>
      </c>
      <c r="I271" s="19">
        <f>$B271*'CVS Payments'!G$20</f>
        <v>834622.93984102586</v>
      </c>
      <c r="J271" s="19">
        <f>$B271*'CVS Payments'!H$20</f>
        <v>834622.93984102586</v>
      </c>
      <c r="K271" s="19">
        <f>$B271*'CVS Payments'!I$20</f>
        <v>792924.88251155824</v>
      </c>
      <c r="L271" s="19">
        <f>$B271*'CVS Payments'!J$20</f>
        <v>751226.82347024337</v>
      </c>
      <c r="M271" s="19">
        <f>$B271*'CVS Payments'!K$20</f>
        <v>750565.05589627801</v>
      </c>
      <c r="N271" s="19">
        <f>$B271*'CVS Payments'!L$20</f>
        <v>750565.05589627801</v>
      </c>
      <c r="O271" s="39" t="s">
        <v>346</v>
      </c>
      <c r="P271" s="7">
        <f t="shared" si="15"/>
        <v>7190188.2571384609</v>
      </c>
    </row>
    <row r="272" spans="1:16" x14ac:dyDescent="0.35">
      <c r="A272" s="3" t="s">
        <v>34</v>
      </c>
      <c r="B272" s="16">
        <v>1.5671696722706324E-3</v>
      </c>
      <c r="C272" s="8" t="s">
        <v>292</v>
      </c>
      <c r="D272" s="33" t="str">
        <f t="shared" si="16"/>
        <v>No</v>
      </c>
      <c r="E272" s="74">
        <v>6405.46</v>
      </c>
      <c r="F272" s="19">
        <v>4671.8999999999996</v>
      </c>
      <c r="G272" s="19">
        <f>$B272*'CVS Payments'!E$20</f>
        <v>11464.844488483166</v>
      </c>
      <c r="H272" s="19">
        <f>$B272*'CVS Payments'!F$20</f>
        <v>11464.844488483166</v>
      </c>
      <c r="I272" s="19">
        <f>$B272*'CVS Payments'!G$20</f>
        <v>11464.844488483166</v>
      </c>
      <c r="J272" s="19">
        <f>$B272*'CVS Payments'!H$20</f>
        <v>11464.844488483166</v>
      </c>
      <c r="K272" s="19">
        <f>$B272*'CVS Payments'!I$20</f>
        <v>10892.05680205166</v>
      </c>
      <c r="L272" s="19">
        <f>$B272*'CVS Payments'!J$20</f>
        <v>10319.269092105273</v>
      </c>
      <c r="M272" s="19">
        <f>$B272*'CVS Payments'!K$20</f>
        <v>10310.178684975463</v>
      </c>
      <c r="N272" s="19">
        <f>$B272*'CVS Payments'!L$20</f>
        <v>10310.178684975463</v>
      </c>
      <c r="O272" s="39" t="s">
        <v>346</v>
      </c>
      <c r="P272" s="7">
        <f t="shared" si="15"/>
        <v>98768.421218040516</v>
      </c>
    </row>
    <row r="273" spans="1:16" x14ac:dyDescent="0.35">
      <c r="A273" s="3" t="s">
        <v>22</v>
      </c>
      <c r="B273" s="16">
        <v>3.6531164913600001E-3</v>
      </c>
      <c r="C273" s="8" t="s">
        <v>293</v>
      </c>
      <c r="D273" s="33" t="str">
        <f t="shared" si="16"/>
        <v>No</v>
      </c>
      <c r="E273" s="74">
        <v>14931.31</v>
      </c>
      <c r="F273" s="19">
        <v>10890.33</v>
      </c>
      <c r="G273" s="19">
        <f>$B273*'CVS Payments'!E$20</f>
        <v>26724.874283122957</v>
      </c>
      <c r="H273" s="19">
        <f>$B273*'CVS Payments'!F$20</f>
        <v>26724.874283122957</v>
      </c>
      <c r="I273" s="19">
        <f>$B273*'CVS Payments'!G$20</f>
        <v>26724.874283122957</v>
      </c>
      <c r="J273" s="19">
        <f>$B273*'CVS Payments'!H$20</f>
        <v>26724.874283122957</v>
      </c>
      <c r="K273" s="19">
        <f>$B273*'CVS Payments'!I$20</f>
        <v>25389.690109785071</v>
      </c>
      <c r="L273" s="19">
        <f>$B273*'CVS Payments'!J$20</f>
        <v>24054.505881633333</v>
      </c>
      <c r="M273" s="19">
        <f>$B273*'CVS Payments'!K$20</f>
        <v>24033.315887475921</v>
      </c>
      <c r="N273" s="19">
        <f>$B273*'CVS Payments'!L$20</f>
        <v>24033.315887475921</v>
      </c>
      <c r="O273" s="39" t="s">
        <v>346</v>
      </c>
      <c r="P273" s="7">
        <f t="shared" si="15"/>
        <v>230231.96489886206</v>
      </c>
    </row>
    <row r="274" spans="1:16" x14ac:dyDescent="0.35">
      <c r="A274" s="3" t="s">
        <v>66</v>
      </c>
      <c r="B274" s="16">
        <v>3.3453814497600002E-3</v>
      </c>
      <c r="C274" s="8" t="s">
        <v>66</v>
      </c>
      <c r="D274" s="33" t="str">
        <f t="shared" si="16"/>
        <v>No</v>
      </c>
      <c r="E274" s="74">
        <v>13673.51</v>
      </c>
      <c r="F274" s="19">
        <v>9972.94</v>
      </c>
      <c r="G274" s="19">
        <f>$B274*'CVS Payments'!E$20</f>
        <v>24473.596417026256</v>
      </c>
      <c r="H274" s="19">
        <f>$B274*'CVS Payments'!F$20</f>
        <v>24473.596417026256</v>
      </c>
      <c r="I274" s="19">
        <f>$B274*'CVS Payments'!G$20</f>
        <v>24473.596417026256</v>
      </c>
      <c r="J274" s="19">
        <f>$B274*'CVS Payments'!H$20</f>
        <v>24473.596417026256</v>
      </c>
      <c r="K274" s="19">
        <f>$B274*'CVS Payments'!I$20</f>
        <v>23250.886882287381</v>
      </c>
      <c r="L274" s="19">
        <f>$B274*'CVS Payments'!J$20</f>
        <v>22028.177297352115</v>
      </c>
      <c r="M274" s="19">
        <f>$B274*'CVS Payments'!K$20</f>
        <v>22008.772328049225</v>
      </c>
      <c r="N274" s="19">
        <f>$B274*'CVS Payments'!L$20</f>
        <v>22008.772328049225</v>
      </c>
      <c r="O274" s="39" t="s">
        <v>346</v>
      </c>
      <c r="P274" s="7">
        <f t="shared" si="15"/>
        <v>210837.444503843</v>
      </c>
    </row>
    <row r="275" spans="1:16" x14ac:dyDescent="0.35">
      <c r="A275" s="3" t="s">
        <v>34</v>
      </c>
      <c r="B275" s="16">
        <v>3.4982406091484461E-4</v>
      </c>
      <c r="C275" s="8" t="s">
        <v>294</v>
      </c>
      <c r="D275" s="33" t="str">
        <f t="shared" si="16"/>
        <v>No</v>
      </c>
      <c r="E275" s="74">
        <v>1429.83</v>
      </c>
      <c r="F275" s="19">
        <v>1042.8599999999999</v>
      </c>
      <c r="G275" s="19">
        <f>$B275*'CVS Payments'!E$20</f>
        <v>2559.1858543991507</v>
      </c>
      <c r="H275" s="19">
        <f>$B275*'CVS Payments'!F$20</f>
        <v>2559.1858543991507</v>
      </c>
      <c r="I275" s="19">
        <f>$B275*'CVS Payments'!G$20</f>
        <v>2559.1858543991507</v>
      </c>
      <c r="J275" s="19">
        <f>$B275*'CVS Payments'!H$20</f>
        <v>2559.1858543991507</v>
      </c>
      <c r="K275" s="19">
        <f>$B275*'CVS Payments'!I$20</f>
        <v>2431.3280237794647</v>
      </c>
      <c r="L275" s="19">
        <f>$B275*'CVS Payments'!J$20</f>
        <v>2303.4701879107797</v>
      </c>
      <c r="M275" s="19">
        <f>$B275*'CVS Payments'!K$20</f>
        <v>2301.4410246403395</v>
      </c>
      <c r="N275" s="19">
        <f>$B275*'CVS Payments'!L$20</f>
        <v>2301.4410246403395</v>
      </c>
      <c r="O275" s="39" t="s">
        <v>346</v>
      </c>
      <c r="P275" s="7">
        <f t="shared" si="15"/>
        <v>22047.113678567526</v>
      </c>
    </row>
    <row r="276" spans="1:16" x14ac:dyDescent="0.35">
      <c r="A276" s="3" t="s">
        <v>34</v>
      </c>
      <c r="B276" s="16">
        <v>2.2074607648649763E-4</v>
      </c>
      <c r="C276" s="8" t="s">
        <v>295</v>
      </c>
      <c r="D276" s="33" t="str">
        <f t="shared" si="16"/>
        <v>No</v>
      </c>
      <c r="E276" s="74">
        <v>902.25</v>
      </c>
      <c r="F276" s="19">
        <v>658.07</v>
      </c>
      <c r="G276" s="19">
        <f>$B276*'CVS Payments'!E$20</f>
        <v>1614.8981716151166</v>
      </c>
      <c r="H276" s="19">
        <f>$B276*'CVS Payments'!F$20</f>
        <v>1614.8981716151166</v>
      </c>
      <c r="I276" s="19">
        <f>$B276*'CVS Payments'!G$20</f>
        <v>1614.8981716151166</v>
      </c>
      <c r="J276" s="19">
        <f>$B276*'CVS Payments'!H$20</f>
        <v>1614.8981716151166</v>
      </c>
      <c r="K276" s="19">
        <f>$B276*'CVS Payments'!I$20</f>
        <v>1534.2172876771724</v>
      </c>
      <c r="L276" s="19">
        <f>$B276*'CVS Payments'!J$20</f>
        <v>1453.5364004270034</v>
      </c>
      <c r="M276" s="19">
        <f>$B276*'CVS Payments'!K$20</f>
        <v>1452.2559572541445</v>
      </c>
      <c r="N276" s="19">
        <f>$B276*'CVS Payments'!L$20</f>
        <v>1452.2559572541445</v>
      </c>
      <c r="O276" s="39" t="s">
        <v>346</v>
      </c>
      <c r="P276" s="7">
        <f t="shared" si="15"/>
        <v>13912.178289072932</v>
      </c>
    </row>
    <row r="277" spans="1:16" x14ac:dyDescent="0.35">
      <c r="A277" s="3" t="s">
        <v>22</v>
      </c>
      <c r="B277" s="16">
        <v>3.4175249817315688E-4</v>
      </c>
      <c r="C277" s="8" t="s">
        <v>296</v>
      </c>
      <c r="D277" s="33" t="str">
        <f t="shared" si="16"/>
        <v>No</v>
      </c>
      <c r="E277" s="74">
        <v>1396.84</v>
      </c>
      <c r="F277" s="19">
        <v>1018.8</v>
      </c>
      <c r="G277" s="19">
        <f>$B277*'CVS Payments'!E$20</f>
        <v>2500.1372311071964</v>
      </c>
      <c r="H277" s="19">
        <f>$B277*'CVS Payments'!F$20</f>
        <v>2500.1372311071964</v>
      </c>
      <c r="I277" s="19">
        <f>$B277*'CVS Payments'!G$20</f>
        <v>2500.1372311071964</v>
      </c>
      <c r="J277" s="19">
        <f>$B277*'CVS Payments'!H$20</f>
        <v>2500.1372311071964</v>
      </c>
      <c r="K277" s="19">
        <f>$B277*'CVS Payments'!I$20</f>
        <v>2375.2294905961321</v>
      </c>
      <c r="L277" s="19">
        <f>$B277*'CVS Payments'!J$20</f>
        <v>2250.3217449571803</v>
      </c>
      <c r="M277" s="19">
        <f>$B277*'CVS Payments'!K$20</f>
        <v>2248.3394009895851</v>
      </c>
      <c r="N277" s="19">
        <f>$B277*'CVS Payments'!L$20</f>
        <v>2248.3394009895851</v>
      </c>
      <c r="O277" s="39" t="s">
        <v>346</v>
      </c>
      <c r="P277" s="7">
        <f t="shared" si="15"/>
        <v>21538.418961961266</v>
      </c>
    </row>
    <row r="278" spans="1:16" x14ac:dyDescent="0.35">
      <c r="A278" s="3" t="s">
        <v>22</v>
      </c>
      <c r="B278" s="16">
        <v>5.8366538543403043E-4</v>
      </c>
      <c r="C278" s="8" t="s">
        <v>297</v>
      </c>
      <c r="D278" s="33" t="str">
        <f t="shared" si="16"/>
        <v>No</v>
      </c>
      <c r="E278" s="74">
        <v>2385.6</v>
      </c>
      <c r="F278" s="19">
        <v>1739.97</v>
      </c>
      <c r="G278" s="19">
        <f>$B278*'CVS Payments'!E$20</f>
        <v>4269.8841074536676</v>
      </c>
      <c r="H278" s="19">
        <f>$B278*'CVS Payments'!F$20</f>
        <v>4269.8841074536676</v>
      </c>
      <c r="I278" s="19">
        <f>$B278*'CVS Payments'!G$20</f>
        <v>4269.8841074536676</v>
      </c>
      <c r="J278" s="19">
        <f>$B278*'CVS Payments'!H$20</f>
        <v>4269.8841074536676</v>
      </c>
      <c r="K278" s="19">
        <f>$B278*'CVS Payments'!I$20</f>
        <v>4056.5591869372261</v>
      </c>
      <c r="L278" s="19">
        <f>$B278*'CVS Payments'!J$20</f>
        <v>3843.2342576630704</v>
      </c>
      <c r="M278" s="19">
        <f>$B278*'CVS Payments'!K$20</f>
        <v>3839.8486919039492</v>
      </c>
      <c r="N278" s="19">
        <f>$B278*'CVS Payments'!L$20</f>
        <v>3839.8486919039492</v>
      </c>
      <c r="O278" s="39" t="s">
        <v>346</v>
      </c>
      <c r="P278" s="7">
        <f t="shared" si="15"/>
        <v>36784.597258222864</v>
      </c>
    </row>
    <row r="279" spans="1:16" x14ac:dyDescent="0.35">
      <c r="A279" s="3" t="s">
        <v>14</v>
      </c>
      <c r="B279" s="16">
        <v>1.526406853995849E-3</v>
      </c>
      <c r="C279" s="8" t="s">
        <v>298</v>
      </c>
      <c r="D279" s="33" t="str">
        <f t="shared" si="16"/>
        <v>No</v>
      </c>
      <c r="E279" s="74">
        <v>6238.85</v>
      </c>
      <c r="F279" s="19">
        <v>4550.38</v>
      </c>
      <c r="G279" s="19">
        <f>$B279*'CVS Payments'!E$20</f>
        <v>11166.638505620076</v>
      </c>
      <c r="H279" s="19">
        <f>$B279*'CVS Payments'!F$20</f>
        <v>11166.638505620076</v>
      </c>
      <c r="I279" s="19">
        <f>$B279*'CVS Payments'!G$20</f>
        <v>11166.638505620076</v>
      </c>
      <c r="J279" s="19">
        <f>$B279*'CVS Payments'!H$20</f>
        <v>11166.638505620076</v>
      </c>
      <c r="K279" s="19">
        <f>$B279*'CVS Payments'!I$20</f>
        <v>10608.74929558533</v>
      </c>
      <c r="L279" s="19">
        <f>$B279*'CVS Payments'!J$20</f>
        <v>10050.860062647334</v>
      </c>
      <c r="M279" s="19">
        <f>$B279*'CVS Payments'!K$20</f>
        <v>10042.006101270932</v>
      </c>
      <c r="N279" s="19">
        <f>$B279*'CVS Payments'!L$20</f>
        <v>10042.006101270932</v>
      </c>
      <c r="O279" s="39" t="s">
        <v>346</v>
      </c>
      <c r="P279" s="7">
        <f t="shared" si="15"/>
        <v>96199.405583254833</v>
      </c>
    </row>
    <row r="280" spans="1:16" x14ac:dyDescent="0.35">
      <c r="A280" s="3" t="s">
        <v>28</v>
      </c>
      <c r="B280" s="16">
        <v>3.4585485351294921E-4</v>
      </c>
      <c r="C280" s="8" t="s">
        <v>299</v>
      </c>
      <c r="D280" s="33" t="str">
        <f t="shared" si="16"/>
        <v>No</v>
      </c>
      <c r="E280" s="74">
        <v>1413.61</v>
      </c>
      <c r="F280" s="19">
        <v>1031.03</v>
      </c>
      <c r="G280" s="19">
        <f>$B280*'CVS Payments'!E$20</f>
        <v>2530.1485737457206</v>
      </c>
      <c r="H280" s="19">
        <f>$B280*'CVS Payments'!F$20</f>
        <v>2530.1485737457206</v>
      </c>
      <c r="I280" s="19">
        <f>$B280*'CVS Payments'!G$20</f>
        <v>2530.1485737457206</v>
      </c>
      <c r="J280" s="19">
        <f>$B280*'CVS Payments'!H$20</f>
        <v>2530.1485737457206</v>
      </c>
      <c r="K280" s="19">
        <f>$B280*'CVS Payments'!I$20</f>
        <v>2403.7414559396661</v>
      </c>
      <c r="L280" s="19">
        <f>$B280*'CVS Payments'!J$20</f>
        <v>2277.3343329441695</v>
      </c>
      <c r="M280" s="19">
        <f>$B280*'CVS Payments'!K$20</f>
        <v>2275.3281931611696</v>
      </c>
      <c r="N280" s="19">
        <f>$B280*'CVS Payments'!L$20</f>
        <v>2275.3281931611696</v>
      </c>
      <c r="O280" s="39" t="s">
        <v>346</v>
      </c>
      <c r="P280" s="7">
        <f t="shared" si="15"/>
        <v>21796.966470189058</v>
      </c>
    </row>
    <row r="281" spans="1:16" x14ac:dyDescent="0.35">
      <c r="A281" s="3" t="s">
        <v>28</v>
      </c>
      <c r="B281" s="16">
        <v>5.3695276199727988E-4</v>
      </c>
      <c r="C281" s="8" t="s">
        <v>300</v>
      </c>
      <c r="D281" s="33" t="str">
        <f t="shared" si="16"/>
        <v>No</v>
      </c>
      <c r="E281" s="74">
        <v>2194.6799999999998</v>
      </c>
      <c r="F281" s="19">
        <v>1600.71</v>
      </c>
      <c r="G281" s="19">
        <f>$B281*'CVS Payments'!E$20</f>
        <v>3928.1515096198482</v>
      </c>
      <c r="H281" s="19">
        <f>$B281*'CVS Payments'!F$20</f>
        <v>3928.1515096198482</v>
      </c>
      <c r="I281" s="19">
        <f>$B281*'CVS Payments'!G$20</f>
        <v>3928.1515096198482</v>
      </c>
      <c r="J281" s="19">
        <f>$B281*'CVS Payments'!H$20</f>
        <v>3928.1515096198482</v>
      </c>
      <c r="K281" s="19">
        <f>$B281*'CVS Payments'!I$20</f>
        <v>3731.8996705820159</v>
      </c>
      <c r="L281" s="19">
        <f>$B281*'CVS Payments'!J$20</f>
        <v>3535.647823487378</v>
      </c>
      <c r="M281" s="19">
        <f>$B281*'CVS Payments'!K$20</f>
        <v>3532.5332154762627</v>
      </c>
      <c r="N281" s="19">
        <f>$B281*'CVS Payments'!L$20</f>
        <v>3532.5332154762627</v>
      </c>
      <c r="O281" s="39" t="s">
        <v>346</v>
      </c>
      <c r="P281" s="7">
        <f t="shared" si="15"/>
        <v>33840.609963501316</v>
      </c>
    </row>
    <row r="282" spans="1:16" x14ac:dyDescent="0.35">
      <c r="A282" s="3" t="s">
        <v>24</v>
      </c>
      <c r="B282" s="16">
        <v>3.6753988866981733E-5</v>
      </c>
      <c r="C282" s="8" t="s">
        <v>301</v>
      </c>
      <c r="D282" s="33" t="str">
        <f t="shared" si="16"/>
        <v>Yes</v>
      </c>
      <c r="E282" s="74">
        <v>2451.92</v>
      </c>
      <c r="F282" s="19">
        <v>0</v>
      </c>
      <c r="G282" s="52">
        <f>$B282*'CVS Payments'!E$20</f>
        <v>268.87884199600558</v>
      </c>
      <c r="H282" s="52">
        <f>$B282*'CVS Payments'!F$20</f>
        <v>268.87884199600558</v>
      </c>
      <c r="I282" s="52">
        <f>$B282*'CVS Payments'!G$20</f>
        <v>268.87884199600558</v>
      </c>
      <c r="J282" s="52">
        <f>$B282*'CVS Payments'!H$20</f>
        <v>268.87884199600558</v>
      </c>
      <c r="K282" s="52">
        <f>$B282*'CVS Payments'!I$20</f>
        <v>255.44555993169294</v>
      </c>
      <c r="L282" s="52">
        <f>$B282*'CVS Payments'!J$20</f>
        <v>242.01227731589842</v>
      </c>
      <c r="M282" s="52">
        <f>$B282*'CVS Payments'!K$20</f>
        <v>241.7990848783742</v>
      </c>
      <c r="N282" s="52">
        <f>$B282*'CVS Payments'!L$20</f>
        <v>241.7990848783742</v>
      </c>
      <c r="O282" s="39" t="s">
        <v>346</v>
      </c>
      <c r="P282" s="7">
        <f>E282</f>
        <v>2451.92</v>
      </c>
    </row>
    <row r="283" spans="1:16" x14ac:dyDescent="0.35">
      <c r="A283" s="8" t="s">
        <v>270</v>
      </c>
      <c r="B283" s="20"/>
      <c r="C283" s="8" t="s">
        <v>270</v>
      </c>
      <c r="D283" s="8"/>
      <c r="E283" s="43">
        <f>'CVS Payments'!C13</f>
        <v>5660879.4211948439</v>
      </c>
      <c r="F283" s="94">
        <v>4597898.3300000085</v>
      </c>
      <c r="G283" s="43">
        <f>'CVS Payments'!E13</f>
        <v>9188775.3627351001</v>
      </c>
      <c r="H283" s="43">
        <f>'CVS Payments'!F13</f>
        <v>9188775.3627351001</v>
      </c>
      <c r="I283" s="43">
        <f>'CVS Payments'!G13</f>
        <v>9188775.3627351001</v>
      </c>
      <c r="J283" s="43">
        <f>'CVS Payments'!H13</f>
        <v>9188775.3627351001</v>
      </c>
      <c r="K283" s="43">
        <f>'CVS Payments'!I13</f>
        <v>8729700.8950049058</v>
      </c>
      <c r="L283" s="43">
        <f>'CVS Payments'!J13</f>
        <v>8270626.4084281437</v>
      </c>
      <c r="M283" s="43">
        <f>'CVS Payments'!K13</f>
        <v>8263340.6829954498</v>
      </c>
      <c r="N283" s="43">
        <f>'CVS Payments'!L13</f>
        <v>8263340.6829954498</v>
      </c>
      <c r="O283" s="7"/>
      <c r="P283" s="7">
        <f t="shared" si="15"/>
        <v>80540887.871559218</v>
      </c>
    </row>
    <row r="284" spans="1:16" x14ac:dyDescent="0.35">
      <c r="H284"/>
      <c r="I284"/>
      <c r="J284"/>
      <c r="K284"/>
      <c r="L284"/>
      <c r="M284"/>
      <c r="N284"/>
    </row>
    <row r="285" spans="1:16" x14ac:dyDescent="0.35">
      <c r="B285" s="3" t="s">
        <v>340</v>
      </c>
    </row>
  </sheetData>
  <sheetProtection algorithmName="SHA-512" hashValue="ExKYQI/HxfOkSDia3yDyTGhysqX5GmryFsIuW/O6A6yd/0ECrsOR3aC1l7+mQA8O/VbeCGmkSnoKh7Oy60j7cw==" saltValue="1+PZdR6o2a5B/m9M4lrpzg==" spinCount="100000" sheet="1" sort="0" autoFilter="0" pivotTables="0"/>
  <autoFilter ref="A3:P283" xr:uid="{A817AFE2-400E-4528-B798-D605BB194E27}"/>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7AFE2-400E-4528-B798-D605BB194E27}">
  <sheetPr codeName="Sheet31"/>
  <dimension ref="A1:Z286"/>
  <sheetViews>
    <sheetView zoomScaleNormal="100" workbookViewId="0">
      <pane ySplit="3" topLeftCell="A4" activePane="bottomLeft" state="frozen"/>
      <selection activeCell="A12" sqref="A12:L22"/>
      <selection pane="bottomLeft" activeCell="I13" sqref="I13"/>
    </sheetView>
  </sheetViews>
  <sheetFormatPr defaultColWidth="9.109375" defaultRowHeight="18" x14ac:dyDescent="0.35"/>
  <cols>
    <col min="1" max="1" width="23.44140625" style="3" customWidth="1"/>
    <col min="2" max="2" width="30.88671875" style="3" customWidth="1"/>
    <col min="3" max="3" width="41.5546875" style="3" customWidth="1"/>
    <col min="4" max="4" width="27.33203125" style="3" customWidth="1"/>
    <col min="5" max="5" width="20.88671875" style="23" customWidth="1"/>
    <col min="6" max="6" width="22.88671875" style="23" customWidth="1"/>
    <col min="7" max="7" width="20.5546875" style="23" customWidth="1"/>
    <col min="8" max="9" width="19.6640625" style="7" customWidth="1"/>
    <col min="10" max="23" width="17.88671875" style="7" customWidth="1"/>
    <col min="24" max="24" width="22" style="7" customWidth="1"/>
    <col min="25" max="25" width="21.33203125" style="3" customWidth="1"/>
    <col min="26" max="26" width="22.109375" style="3" customWidth="1"/>
    <col min="27" max="16384" width="9.109375" style="3"/>
  </cols>
  <sheetData>
    <row r="1" spans="1:26" s="5" customFormat="1" ht="25.8" x14ac:dyDescent="0.5">
      <c r="A1" s="111" t="s">
        <v>316</v>
      </c>
      <c r="B1" s="112"/>
      <c r="C1" s="112"/>
      <c r="D1" s="46"/>
      <c r="E1" s="5">
        <v>2023</v>
      </c>
      <c r="F1" s="5">
        <v>2023</v>
      </c>
      <c r="G1" s="5">
        <v>2023</v>
      </c>
      <c r="H1" s="5">
        <v>2024</v>
      </c>
      <c r="I1" s="5">
        <v>2024</v>
      </c>
      <c r="J1" s="5">
        <v>2025</v>
      </c>
      <c r="K1" s="5">
        <v>2026</v>
      </c>
      <c r="L1" s="5">
        <v>2027</v>
      </c>
      <c r="M1" s="5">
        <v>2028</v>
      </c>
      <c r="N1" s="5">
        <v>2029</v>
      </c>
      <c r="O1" s="5">
        <v>2030</v>
      </c>
      <c r="P1" s="5">
        <v>2031</v>
      </c>
      <c r="Q1" s="5">
        <v>2032</v>
      </c>
      <c r="R1" s="5">
        <v>2033</v>
      </c>
      <c r="S1" s="5">
        <v>2034</v>
      </c>
      <c r="T1" s="5">
        <v>2035</v>
      </c>
      <c r="U1" s="5">
        <v>2036</v>
      </c>
      <c r="V1" s="5">
        <v>2037</v>
      </c>
      <c r="W1" s="5">
        <v>2038</v>
      </c>
      <c r="X1" s="5">
        <v>2023</v>
      </c>
      <c r="Y1" s="5">
        <v>2023</v>
      </c>
    </row>
    <row r="2" spans="1:26" s="11" customFormat="1" ht="17.399999999999999" x14ac:dyDescent="0.3">
      <c r="E2" s="18" t="s">
        <v>308</v>
      </c>
      <c r="F2" s="18" t="s">
        <v>308</v>
      </c>
      <c r="G2" s="18" t="s">
        <v>308</v>
      </c>
      <c r="H2" s="15" t="s">
        <v>308</v>
      </c>
      <c r="I2" s="15" t="s">
        <v>308</v>
      </c>
      <c r="J2" s="15" t="s">
        <v>309</v>
      </c>
      <c r="K2" s="15" t="s">
        <v>309</v>
      </c>
      <c r="L2" s="15" t="s">
        <v>309</v>
      </c>
      <c r="M2" s="15" t="s">
        <v>309</v>
      </c>
      <c r="N2" s="15" t="s">
        <v>309</v>
      </c>
      <c r="O2" s="15" t="s">
        <v>309</v>
      </c>
      <c r="P2" s="15" t="s">
        <v>309</v>
      </c>
      <c r="Q2" s="15" t="s">
        <v>309</v>
      </c>
      <c r="R2" s="15" t="s">
        <v>309</v>
      </c>
      <c r="S2" s="15" t="s">
        <v>309</v>
      </c>
      <c r="T2" s="15" t="s">
        <v>309</v>
      </c>
      <c r="U2" s="15" t="s">
        <v>309</v>
      </c>
      <c r="V2" s="15" t="s">
        <v>309</v>
      </c>
      <c r="W2" s="15" t="s">
        <v>309</v>
      </c>
      <c r="X2" s="15" t="s">
        <v>308</v>
      </c>
      <c r="Y2" s="11" t="s">
        <v>308</v>
      </c>
    </row>
    <row r="3" spans="1:26" ht="57.75" customHeight="1" x14ac:dyDescent="0.35">
      <c r="A3" s="11" t="s">
        <v>3</v>
      </c>
      <c r="B3" s="11" t="s">
        <v>310</v>
      </c>
      <c r="C3" s="11" t="s">
        <v>4</v>
      </c>
      <c r="D3" s="32" t="s">
        <v>317</v>
      </c>
      <c r="E3" s="18" t="s">
        <v>318</v>
      </c>
      <c r="F3" s="18" t="s">
        <v>319</v>
      </c>
      <c r="G3" s="18" t="s">
        <v>320</v>
      </c>
      <c r="H3" s="15" t="s">
        <v>437</v>
      </c>
      <c r="I3" s="15" t="s">
        <v>438</v>
      </c>
      <c r="J3" s="15" t="s">
        <v>315</v>
      </c>
      <c r="K3" s="15" t="s">
        <v>321</v>
      </c>
      <c r="L3" s="15" t="s">
        <v>322</v>
      </c>
      <c r="M3" s="15" t="s">
        <v>323</v>
      </c>
      <c r="N3" s="15" t="s">
        <v>324</v>
      </c>
      <c r="O3" s="15" t="s">
        <v>325</v>
      </c>
      <c r="P3" s="15" t="s">
        <v>326</v>
      </c>
      <c r="Q3" s="15" t="s">
        <v>327</v>
      </c>
      <c r="R3" s="15" t="s">
        <v>328</v>
      </c>
      <c r="S3" s="15" t="s">
        <v>329</v>
      </c>
      <c r="T3" s="15" t="s">
        <v>330</v>
      </c>
      <c r="U3" s="15" t="s">
        <v>331</v>
      </c>
      <c r="V3" s="15" t="s">
        <v>332</v>
      </c>
      <c r="W3" s="15" t="s">
        <v>333</v>
      </c>
      <c r="X3" s="17" t="s">
        <v>334</v>
      </c>
      <c r="Y3" s="17" t="s">
        <v>335</v>
      </c>
      <c r="Z3" s="15" t="s">
        <v>13</v>
      </c>
    </row>
    <row r="4" spans="1:26" customFormat="1" x14ac:dyDescent="0.35">
      <c r="A4" s="3" t="s">
        <v>14</v>
      </c>
      <c r="B4" s="6">
        <v>4.1016955278069181E-5</v>
      </c>
      <c r="C4" s="8" t="s">
        <v>15</v>
      </c>
      <c r="D4" s="33" t="s">
        <v>336</v>
      </c>
      <c r="E4" s="25">
        <v>304.94</v>
      </c>
      <c r="F4" s="25">
        <v>332.44</v>
      </c>
      <c r="G4" s="28">
        <v>332.44</v>
      </c>
      <c r="H4" s="28">
        <v>688.88</v>
      </c>
      <c r="I4" s="26">
        <v>303.20999999999998</v>
      </c>
      <c r="J4" s="7">
        <f>$B4*'Distributor Payments'!H$21</f>
        <v>688.88131353313497</v>
      </c>
      <c r="K4" s="7">
        <f>$B$4*'Distributor Payments'!I$21</f>
        <v>688.88131352652772</v>
      </c>
      <c r="L4" s="7">
        <f>$B$4*'Distributor Payments'!J$21</f>
        <v>262.46378044067916</v>
      </c>
      <c r="M4" s="7">
        <f>$B$4*'Distributor Payments'!K$21</f>
        <v>810.20742257353072</v>
      </c>
      <c r="N4" s="7">
        <f>$B$4*'Distributor Payments'!L$21</f>
        <v>810.20742257353072</v>
      </c>
      <c r="O4" s="7">
        <f>$B$4*'Distributor Payments'!M$21</f>
        <v>810.20742257353072</v>
      </c>
      <c r="P4" s="7">
        <f>$B$4*'Distributor Payments'!N$21</f>
        <v>681.06110593427707</v>
      </c>
      <c r="Q4" s="7">
        <f>$B$4*'Distributor Payments'!O$21</f>
        <v>681.06110593427707</v>
      </c>
      <c r="R4" s="7">
        <f>$B$4*'Distributor Payments'!P$21</f>
        <v>681.06110593427707</v>
      </c>
      <c r="S4" s="7">
        <f>$B$4*'Distributor Payments'!Q$21</f>
        <v>681.06110593427707</v>
      </c>
      <c r="T4" s="7">
        <f>$B$4*'Distributor Payments'!R$21</f>
        <v>681.06110593427707</v>
      </c>
      <c r="U4" s="7">
        <f>$B$4*'Distributor Payments'!S$21</f>
        <v>681.06110593427707</v>
      </c>
      <c r="V4" s="7">
        <f>$B$4*'Distributor Payments'!T$21</f>
        <v>681.06110593427707</v>
      </c>
      <c r="W4" s="7">
        <f>$B$4*'Distributor Payments'!U$21</f>
        <v>681.06110593427707</v>
      </c>
      <c r="X4" s="7">
        <f>B4*'Distributor Payments'!$V$21</f>
        <v>166.70677244197446</v>
      </c>
      <c r="Y4" s="7">
        <v>0</v>
      </c>
      <c r="Z4" s="7">
        <f t="shared" ref="Z4:Z67" si="0">SUM(E4:Y4)</f>
        <v>11647.954295137126</v>
      </c>
    </row>
    <row r="5" spans="1:26" customFormat="1" x14ac:dyDescent="0.35">
      <c r="A5" s="3" t="s">
        <v>16</v>
      </c>
      <c r="B5" s="6">
        <v>3.1833543189393153E-4</v>
      </c>
      <c r="C5" s="8" t="s">
        <v>17</v>
      </c>
      <c r="D5" s="33" t="s">
        <v>336</v>
      </c>
      <c r="E5" s="25">
        <v>2366.64</v>
      </c>
      <c r="F5" s="25">
        <v>2580.09</v>
      </c>
      <c r="G5" s="28">
        <v>2580.09</v>
      </c>
      <c r="H5" s="28">
        <v>5346.46</v>
      </c>
      <c r="I5" s="26">
        <v>2353.23</v>
      </c>
      <c r="J5" s="7">
        <f>$B5*'Distributor Payments'!H$21</f>
        <v>5346.455605506183</v>
      </c>
      <c r="K5" s="7">
        <f>$B5*'Distributor Payments'!I$21</f>
        <v>5346.4556054549039</v>
      </c>
      <c r="L5" s="7">
        <f>$B5*'Distributor Payments'!J$21</f>
        <v>2036.9995855779837</v>
      </c>
      <c r="M5" s="7">
        <f>$B5*'Distributor Payments'!K$21</f>
        <v>6288.0759442063372</v>
      </c>
      <c r="N5" s="7">
        <f>$B5*'Distributor Payments'!L$21</f>
        <v>6288.0759442063372</v>
      </c>
      <c r="O5" s="7">
        <f>$B5*'Distributor Payments'!M$21</f>
        <v>6288.0759442063372</v>
      </c>
      <c r="P5" s="7">
        <f>$B5*'Distributor Payments'!N$21</f>
        <v>5285.7624324852759</v>
      </c>
      <c r="Q5" s="7">
        <f>$B5*'Distributor Payments'!O$21</f>
        <v>5285.7624324852759</v>
      </c>
      <c r="R5" s="7">
        <f>$B5*'Distributor Payments'!P$21</f>
        <v>5285.7624324852759</v>
      </c>
      <c r="S5" s="7">
        <f>$B5*'Distributor Payments'!Q$21</f>
        <v>5285.7624324852759</v>
      </c>
      <c r="T5" s="7">
        <f>$B5*'Distributor Payments'!R$21</f>
        <v>5285.7624324852759</v>
      </c>
      <c r="U5" s="7">
        <f>$B5*'Distributor Payments'!S$21</f>
        <v>5285.7624324852759</v>
      </c>
      <c r="V5" s="7">
        <f>$B5*'Distributor Payments'!T$21</f>
        <v>5285.7624324852759</v>
      </c>
      <c r="W5" s="7">
        <f>$B5*'Distributor Payments'!U$21</f>
        <v>5285.7624324852759</v>
      </c>
      <c r="X5" s="7">
        <f>B5*'Distributor Payments'!$V$21</f>
        <v>1293.8228116930438</v>
      </c>
      <c r="Y5" s="7">
        <v>0</v>
      </c>
      <c r="Z5" s="7">
        <f t="shared" si="0"/>
        <v>90400.570900733335</v>
      </c>
    </row>
    <row r="6" spans="1:26" customFormat="1" x14ac:dyDescent="0.35">
      <c r="A6" s="3" t="s">
        <v>18</v>
      </c>
      <c r="B6" s="6">
        <v>9.346301204800001E-4</v>
      </c>
      <c r="C6" s="8" t="s">
        <v>18</v>
      </c>
      <c r="D6" s="33" t="s">
        <v>336</v>
      </c>
      <c r="E6" s="25">
        <v>6741.08</v>
      </c>
      <c r="F6" s="25">
        <v>7349.09</v>
      </c>
      <c r="G6" s="28">
        <v>7349.09</v>
      </c>
      <c r="H6" s="28">
        <v>15697.15</v>
      </c>
      <c r="I6" s="26">
        <v>6909.06</v>
      </c>
      <c r="J6" s="7">
        <f>$B6*'Distributor Payments'!H$21</f>
        <v>15697.14818418387</v>
      </c>
      <c r="K6" s="7">
        <f>$B6*'Distributor Payments'!I$21</f>
        <v>15697.148184033314</v>
      </c>
      <c r="L6" s="7">
        <f>$B6*'Distributor Payments'!J$21</f>
        <v>5980.6134578221117</v>
      </c>
      <c r="M6" s="7">
        <f>$B6*'Distributor Payments'!K$21</f>
        <v>18461.73748977829</v>
      </c>
      <c r="N6" s="7">
        <f>$B6*'Distributor Payments'!L$21</f>
        <v>18461.73748977829</v>
      </c>
      <c r="O6" s="7">
        <f>$B6*'Distributor Payments'!M$21</f>
        <v>18461.73748977829</v>
      </c>
      <c r="P6" s="7">
        <f>$B6*'Distributor Payments'!N$21</f>
        <v>15518.953544412372</v>
      </c>
      <c r="Q6" s="7">
        <f>$B6*'Distributor Payments'!O$21</f>
        <v>15518.953544412372</v>
      </c>
      <c r="R6" s="7">
        <f>$B6*'Distributor Payments'!P$21</f>
        <v>15518.953544412372</v>
      </c>
      <c r="S6" s="7">
        <f>$B6*'Distributor Payments'!Q$21</f>
        <v>15518.953544412372</v>
      </c>
      <c r="T6" s="7">
        <f>$B6*'Distributor Payments'!R$21</f>
        <v>15518.953544412372</v>
      </c>
      <c r="U6" s="7">
        <f>$B6*'Distributor Payments'!S$21</f>
        <v>15518.953544412372</v>
      </c>
      <c r="V6" s="7">
        <f>$B6*'Distributor Payments'!T$21</f>
        <v>15518.953544412372</v>
      </c>
      <c r="W6" s="7">
        <f>$B6*'Distributor Payments'!U$21</f>
        <v>15518.953544412372</v>
      </c>
      <c r="X6" s="7">
        <f>B6*'Distributor Payments'!$V$21</f>
        <v>3798.6527706892498</v>
      </c>
      <c r="Y6" s="7">
        <v>0</v>
      </c>
      <c r="Z6" s="7">
        <f t="shared" si="0"/>
        <v>264755.87342136231</v>
      </c>
    </row>
    <row r="7" spans="1:26" customFormat="1" x14ac:dyDescent="0.35">
      <c r="A7" s="3" t="s">
        <v>19</v>
      </c>
      <c r="B7" s="6">
        <v>8.795261608000001E-4</v>
      </c>
      <c r="C7" s="8" t="s">
        <v>19</v>
      </c>
      <c r="D7" s="33" t="s">
        <v>336</v>
      </c>
      <c r="E7" s="25">
        <v>6343.64</v>
      </c>
      <c r="F7" s="25">
        <v>6915.8</v>
      </c>
      <c r="G7" s="28">
        <v>6915.8</v>
      </c>
      <c r="H7" s="28">
        <v>14771.68</v>
      </c>
      <c r="I7" s="26">
        <v>6501.72</v>
      </c>
      <c r="J7" s="7">
        <f>$B7*'Distributor Payments'!H$21</f>
        <v>14771.675099507307</v>
      </c>
      <c r="K7" s="7">
        <f>$B7*'Distributor Payments'!I$21</f>
        <v>14771.67509936563</v>
      </c>
      <c r="L7" s="7">
        <f>$B7*'Distributor Payments'!J$21</f>
        <v>5628.0082125810914</v>
      </c>
      <c r="M7" s="7">
        <f>$B7*'Distributor Payments'!K$21</f>
        <v>17373.269639269663</v>
      </c>
      <c r="N7" s="7">
        <f>$B7*'Distributor Payments'!L$21</f>
        <v>17373.269639269663</v>
      </c>
      <c r="O7" s="7">
        <f>$B7*'Distributor Payments'!M$21</f>
        <v>17373.269639269663</v>
      </c>
      <c r="P7" s="7">
        <f>$B7*'Distributor Payments'!N$21</f>
        <v>14603.986466368806</v>
      </c>
      <c r="Q7" s="7">
        <f>$B7*'Distributor Payments'!O$21</f>
        <v>14603.986466368806</v>
      </c>
      <c r="R7" s="7">
        <f>$B7*'Distributor Payments'!P$21</f>
        <v>14603.986466368806</v>
      </c>
      <c r="S7" s="7">
        <f>$B7*'Distributor Payments'!Q$21</f>
        <v>14603.986466368806</v>
      </c>
      <c r="T7" s="7">
        <f>$B7*'Distributor Payments'!R$21</f>
        <v>14603.986466368806</v>
      </c>
      <c r="U7" s="7">
        <f>$B7*'Distributor Payments'!S$21</f>
        <v>14603.986466368806</v>
      </c>
      <c r="V7" s="7">
        <f>$B7*'Distributor Payments'!T$21</f>
        <v>14603.986466368806</v>
      </c>
      <c r="W7" s="7">
        <f>$B7*'Distributor Payments'!U$21</f>
        <v>14603.986466368806</v>
      </c>
      <c r="X7" s="7">
        <f>B7*'Distributor Payments'!$V$21</f>
        <v>3574.6916501051205</v>
      </c>
      <c r="Y7" s="7">
        <v>0</v>
      </c>
      <c r="Z7" s="7">
        <f t="shared" si="0"/>
        <v>249146.39071031861</v>
      </c>
    </row>
    <row r="8" spans="1:26" customFormat="1" x14ac:dyDescent="0.35">
      <c r="A8" s="3" t="s">
        <v>14</v>
      </c>
      <c r="B8" s="6">
        <v>1.6436044970336357E-5</v>
      </c>
      <c r="C8" s="8" t="s">
        <v>20</v>
      </c>
      <c r="D8" s="8" t="s">
        <v>337</v>
      </c>
      <c r="E8" s="25">
        <v>0</v>
      </c>
      <c r="F8" s="25">
        <v>0</v>
      </c>
      <c r="G8" s="28">
        <v>0</v>
      </c>
      <c r="H8" s="28">
        <v>0</v>
      </c>
      <c r="I8" s="26">
        <v>0</v>
      </c>
      <c r="J8" s="7">
        <v>0</v>
      </c>
      <c r="K8" s="7">
        <v>0</v>
      </c>
      <c r="L8" s="7">
        <v>0</v>
      </c>
      <c r="M8" s="7">
        <v>0</v>
      </c>
      <c r="N8" s="7">
        <v>0</v>
      </c>
      <c r="O8" s="7">
        <v>0</v>
      </c>
      <c r="P8" s="7">
        <v>0</v>
      </c>
      <c r="Q8" s="7">
        <v>0</v>
      </c>
      <c r="R8" s="7">
        <v>0</v>
      </c>
      <c r="S8" s="7">
        <v>0</v>
      </c>
      <c r="T8" s="7">
        <v>0</v>
      </c>
      <c r="U8" s="7">
        <v>0</v>
      </c>
      <c r="V8" s="7">
        <v>0</v>
      </c>
      <c r="W8" s="7">
        <v>0</v>
      </c>
      <c r="X8" s="7">
        <v>0</v>
      </c>
      <c r="Y8" s="7">
        <v>0</v>
      </c>
      <c r="Z8" s="7">
        <f t="shared" si="0"/>
        <v>0</v>
      </c>
    </row>
    <row r="9" spans="1:26" customFormat="1" x14ac:dyDescent="0.35">
      <c r="A9" s="3" t="s">
        <v>21</v>
      </c>
      <c r="B9" s="6">
        <v>4.3271485276575759E-3</v>
      </c>
      <c r="C9" s="8" t="s">
        <v>21</v>
      </c>
      <c r="D9" s="33" t="s">
        <v>336</v>
      </c>
      <c r="E9" s="25">
        <v>32169.78</v>
      </c>
      <c r="F9" s="25">
        <v>35071.35</v>
      </c>
      <c r="G9" s="28">
        <v>35071.35</v>
      </c>
      <c r="H9" s="28">
        <v>72674.62</v>
      </c>
      <c r="I9" s="26">
        <v>31987.56</v>
      </c>
      <c r="J9" s="7">
        <f>$B9*'Distributor Payments'!H$21</f>
        <v>72674.623003515226</v>
      </c>
      <c r="K9" s="7">
        <f>$B9*'Distributor Payments'!I$21</f>
        <v>72674.623002818189</v>
      </c>
      <c r="L9" s="7">
        <f>$B9*'Distributor Payments'!J$21</f>
        <v>27689.031362709877</v>
      </c>
      <c r="M9" s="7">
        <f>$B9*'Distributor Payments'!K$21</f>
        <v>85474.112642407912</v>
      </c>
      <c r="N9" s="7">
        <f>$B9*'Distributor Payments'!L$21</f>
        <v>85474.112642407912</v>
      </c>
      <c r="O9" s="7">
        <f>$B9*'Distributor Payments'!M$21</f>
        <v>85474.112642407912</v>
      </c>
      <c r="P9" s="7">
        <f>$B9*'Distributor Payments'!N$21</f>
        <v>71849.617842406456</v>
      </c>
      <c r="Q9" s="7">
        <f>$B9*'Distributor Payments'!O$21</f>
        <v>71849.617842406456</v>
      </c>
      <c r="R9" s="7">
        <f>$B9*'Distributor Payments'!P$21</f>
        <v>71849.617842406456</v>
      </c>
      <c r="S9" s="7">
        <f>$B9*'Distributor Payments'!Q$21</f>
        <v>71849.617842406456</v>
      </c>
      <c r="T9" s="7">
        <f>$B9*'Distributor Payments'!R$21</f>
        <v>71849.617842406456</v>
      </c>
      <c r="U9" s="7">
        <f>$B9*'Distributor Payments'!S$21</f>
        <v>71849.617842406456</v>
      </c>
      <c r="V9" s="7">
        <f>$B9*'Distributor Payments'!T$21</f>
        <v>71849.617842406456</v>
      </c>
      <c r="W9" s="7">
        <f>$B9*'Distributor Payments'!U$21</f>
        <v>71849.617842406456</v>
      </c>
      <c r="X9" s="7">
        <f>B9*'Distributor Payments'!$V$21</f>
        <v>17586.994452231647</v>
      </c>
      <c r="Y9" s="7">
        <v>0</v>
      </c>
      <c r="Z9" s="7">
        <f t="shared" si="0"/>
        <v>1228819.2124877505</v>
      </c>
    </row>
    <row r="10" spans="1:26" customFormat="1" x14ac:dyDescent="0.35">
      <c r="A10" s="3" t="s">
        <v>22</v>
      </c>
      <c r="B10" s="6">
        <v>6.0194286531118117E-4</v>
      </c>
      <c r="C10" s="8" t="s">
        <v>23</v>
      </c>
      <c r="D10" s="33" t="s">
        <v>336</v>
      </c>
      <c r="E10" s="25">
        <v>4475.09</v>
      </c>
      <c r="F10" s="25">
        <v>4878.72</v>
      </c>
      <c r="G10" s="28">
        <v>4878.72</v>
      </c>
      <c r="H10" s="28">
        <v>10109.65</v>
      </c>
      <c r="I10" s="28">
        <v>4449.74</v>
      </c>
      <c r="J10" s="7">
        <f>$B10*'Distributor Payments'!H$21</f>
        <v>10109.653164557985</v>
      </c>
      <c r="K10" s="7">
        <f>$B10*'Distributor Payments'!I$21</f>
        <v>10109.65316446102</v>
      </c>
      <c r="L10" s="7">
        <f>$B10*'Distributor Payments'!J$21</f>
        <v>3851.7778554699257</v>
      </c>
      <c r="M10" s="7">
        <f>$B10*'Distributor Payments'!K$21</f>
        <v>11890.170153635447</v>
      </c>
      <c r="N10" s="7">
        <f>$B10*'Distributor Payments'!L$21</f>
        <v>11890.170153635447</v>
      </c>
      <c r="O10" s="7">
        <f>$B10*'Distributor Payments'!M$21</f>
        <v>11890.170153635447</v>
      </c>
      <c r="P10" s="7">
        <f>$B10*'Distributor Payments'!N$21</f>
        <v>9994.8879866584521</v>
      </c>
      <c r="Q10" s="7">
        <f>$B10*'Distributor Payments'!O$21</f>
        <v>9994.8879866584521</v>
      </c>
      <c r="R10" s="7">
        <f>$B10*'Distributor Payments'!P$21</f>
        <v>9994.8879866584521</v>
      </c>
      <c r="S10" s="7">
        <f>$B10*'Distributor Payments'!Q$21</f>
        <v>9994.8879866584521</v>
      </c>
      <c r="T10" s="7">
        <f>$B10*'Distributor Payments'!R$21</f>
        <v>9994.8879866584521</v>
      </c>
      <c r="U10" s="7">
        <f>$B10*'Distributor Payments'!S$21</f>
        <v>9994.8879866584521</v>
      </c>
      <c r="V10" s="7">
        <f>$B10*'Distributor Payments'!T$21</f>
        <v>9994.8879866584521</v>
      </c>
      <c r="W10" s="7">
        <f>$B10*'Distributor Payments'!U$21</f>
        <v>9994.8879866584521</v>
      </c>
      <c r="X10" s="7">
        <f>B10*'Distributor Payments'!$V$21</f>
        <v>2446.4992974296874</v>
      </c>
      <c r="Y10" s="7">
        <v>0</v>
      </c>
      <c r="Z10" s="7">
        <f t="shared" si="0"/>
        <v>170939.1178360926</v>
      </c>
    </row>
    <row r="11" spans="1:26" customFormat="1" x14ac:dyDescent="0.35">
      <c r="A11" s="3" t="s">
        <v>24</v>
      </c>
      <c r="B11" s="6">
        <v>4.3561388299317821E-5</v>
      </c>
      <c r="C11" s="8" t="s">
        <v>25</v>
      </c>
      <c r="D11" s="33" t="s">
        <v>336</v>
      </c>
      <c r="E11" s="25">
        <v>323.85000000000002</v>
      </c>
      <c r="F11" s="29">
        <v>0</v>
      </c>
      <c r="G11" s="28">
        <v>0</v>
      </c>
      <c r="H11" s="28">
        <v>0</v>
      </c>
      <c r="I11" s="28">
        <v>0</v>
      </c>
      <c r="J11" s="7">
        <v>0</v>
      </c>
      <c r="K11" s="7">
        <f>$B11*'Distributor Payments'!I$21</f>
        <v>731.61516224774721</v>
      </c>
      <c r="L11" s="7">
        <f>$B11*'Distributor Payments'!J$21</f>
        <v>278.74537680266184</v>
      </c>
      <c r="M11" s="7">
        <f>$B11*'Distributor Payments'!K$21</f>
        <v>860.46757733345964</v>
      </c>
      <c r="N11" s="7">
        <f>$B11*'Distributor Payments'!L$21</f>
        <v>860.46757733345964</v>
      </c>
      <c r="O11" s="7">
        <f>$B11*'Distributor Payments'!M$21</f>
        <v>860.46757733345964</v>
      </c>
      <c r="P11" s="7">
        <f>$B11*'Distributor Payments'!N$21</f>
        <v>723.30983833479831</v>
      </c>
      <c r="Q11" s="7">
        <f>$B11*'Distributor Payments'!O$21</f>
        <v>723.30983833479831</v>
      </c>
      <c r="R11" s="7">
        <f>$B11*'Distributor Payments'!P$21</f>
        <v>723.30983833479831</v>
      </c>
      <c r="S11" s="7">
        <f>$B11*'Distributor Payments'!Q$21</f>
        <v>723.30983833479831</v>
      </c>
      <c r="T11" s="7">
        <f>$B11*'Distributor Payments'!R$21</f>
        <v>723.30983833479831</v>
      </c>
      <c r="U11" s="7">
        <f>$B11*'Distributor Payments'!S$21</f>
        <v>723.30983833479831</v>
      </c>
      <c r="V11" s="7">
        <f>$B11*'Distributor Payments'!T$21</f>
        <v>723.30983833479831</v>
      </c>
      <c r="W11" s="7">
        <f>$B11*'Distributor Payments'!U$21</f>
        <v>723.30983833479831</v>
      </c>
      <c r="X11" s="7">
        <f>B11*'Distributor Payments'!$V$21</f>
        <v>177.04820841135609</v>
      </c>
      <c r="Y11" s="7">
        <v>0</v>
      </c>
      <c r="Z11" s="7">
        <f t="shared" si="0"/>
        <v>9879.1401861405338</v>
      </c>
    </row>
    <row r="12" spans="1:26" customFormat="1" x14ac:dyDescent="0.35">
      <c r="A12" s="3" t="s">
        <v>26</v>
      </c>
      <c r="B12" s="6">
        <v>3.5525680747200005E-3</v>
      </c>
      <c r="C12" s="8" t="s">
        <v>26</v>
      </c>
      <c r="D12" s="33" t="s">
        <v>336</v>
      </c>
      <c r="E12" s="25">
        <v>25623.11</v>
      </c>
      <c r="F12" s="25">
        <v>27934.2</v>
      </c>
      <c r="G12" s="28">
        <v>27934.2</v>
      </c>
      <c r="H12" s="28">
        <v>59665.52</v>
      </c>
      <c r="I12" s="28">
        <v>26261.63</v>
      </c>
      <c r="J12" s="7">
        <f>$B12*'Distributor Payments'!H$21</f>
        <v>59665.51503245069</v>
      </c>
      <c r="K12" s="7">
        <f>$B12*'Distributor Payments'!I$21</f>
        <v>59665.515031878422</v>
      </c>
      <c r="L12" s="7">
        <f>$B12*'Distributor Payments'!J$21</f>
        <v>22732.561226025962</v>
      </c>
      <c r="M12" s="7">
        <f>$B12*'Distributor Payments'!K$21</f>
        <v>70173.834303953598</v>
      </c>
      <c r="N12" s="7">
        <f>$B12*'Distributor Payments'!L$21</f>
        <v>70173.834303953598</v>
      </c>
      <c r="O12" s="7">
        <f>$B12*'Distributor Payments'!M$21</f>
        <v>70173.834303953598</v>
      </c>
      <c r="P12" s="7">
        <f>$B12*'Distributor Payments'!N$21</f>
        <v>58988.189773541482</v>
      </c>
      <c r="Q12" s="7">
        <f>$B12*'Distributor Payments'!O$21</f>
        <v>58988.189773541482</v>
      </c>
      <c r="R12" s="7">
        <f>$B12*'Distributor Payments'!P$21</f>
        <v>58988.189773541482</v>
      </c>
      <c r="S12" s="7">
        <f>$B12*'Distributor Payments'!Q$21</f>
        <v>58988.189773541482</v>
      </c>
      <c r="T12" s="7">
        <f>$B12*'Distributor Payments'!R$21</f>
        <v>58988.189773541482</v>
      </c>
      <c r="U12" s="7">
        <f>$B12*'Distributor Payments'!S$21</f>
        <v>58988.189773541482</v>
      </c>
      <c r="V12" s="7">
        <f>$B12*'Distributor Payments'!T$21</f>
        <v>58988.189773541482</v>
      </c>
      <c r="W12" s="7">
        <f>$B12*'Distributor Payments'!U$21</f>
        <v>58988.189773541482</v>
      </c>
      <c r="X12" s="7">
        <f>B12*'Distributor Payments'!$V$21</f>
        <v>14438.837636825421</v>
      </c>
      <c r="Y12" s="7">
        <v>0</v>
      </c>
      <c r="Z12" s="7">
        <f t="shared" si="0"/>
        <v>1006348.1100273734</v>
      </c>
    </row>
    <row r="13" spans="1:26" customFormat="1" x14ac:dyDescent="0.35">
      <c r="A13" s="3" t="s">
        <v>14</v>
      </c>
      <c r="B13" s="6">
        <v>1.4241321015744592E-5</v>
      </c>
      <c r="C13" s="8" t="s">
        <v>27</v>
      </c>
      <c r="D13" s="33" t="s">
        <v>338</v>
      </c>
      <c r="E13" s="25">
        <v>3816.51</v>
      </c>
      <c r="F13" s="47">
        <v>115.43</v>
      </c>
      <c r="G13" s="49">
        <v>115.43</v>
      </c>
      <c r="H13" s="28">
        <v>0</v>
      </c>
      <c r="I13" s="28">
        <v>0</v>
      </c>
      <c r="J13" s="49">
        <f>$B$13*'Distributor Payments'!H$21</f>
        <v>239.18352450257723</v>
      </c>
      <c r="K13" s="49">
        <f>$B$13*'Distributor Payments'!I$21</f>
        <v>239.18352450028317</v>
      </c>
      <c r="L13" s="49">
        <f>$B$13*'Distributor Payments'!J$21</f>
        <v>91.128922830119237</v>
      </c>
      <c r="M13" s="49">
        <f>$B$13*'Distributor Payments'!K$21</f>
        <v>281.30864214531329</v>
      </c>
      <c r="N13" s="49">
        <f>$B$13*'Distributor Payments'!L$21</f>
        <v>281.30864214531329</v>
      </c>
      <c r="O13" s="49">
        <f>$B$13*'Distributor Payments'!M$21</f>
        <v>281.30864214531329</v>
      </c>
      <c r="P13" s="49">
        <f>$B$13*'Distributor Payments'!N$21</f>
        <v>236.4683037829972</v>
      </c>
      <c r="Q13" s="49">
        <f>$B$13*'Distributor Payments'!O$21</f>
        <v>236.4683037829972</v>
      </c>
      <c r="R13" s="49">
        <f>$B$13*'Distributor Payments'!P$21</f>
        <v>236.4683037829972</v>
      </c>
      <c r="S13" s="49">
        <f>$B$13*'Distributor Payments'!Q$21</f>
        <v>236.4683037829972</v>
      </c>
      <c r="T13" s="49">
        <f>$B$13*'Distributor Payments'!R$21</f>
        <v>236.4683037829972</v>
      </c>
      <c r="U13" s="49">
        <f>$B$13*'Distributor Payments'!S$21</f>
        <v>236.4683037829972</v>
      </c>
      <c r="V13" s="49">
        <f>$B$13*'Distributor Payments'!T$21</f>
        <v>236.4683037829972</v>
      </c>
      <c r="W13" s="49">
        <f>$B$13*'Distributor Payments'!U$21</f>
        <v>236.4683037829972</v>
      </c>
      <c r="X13" s="49">
        <f>$B$13*'Distributor Payments'!V$21</f>
        <v>57.881543028968608</v>
      </c>
      <c r="Y13" s="7">
        <v>0</v>
      </c>
      <c r="Z13" s="7">
        <f>E13</f>
        <v>3816.51</v>
      </c>
    </row>
    <row r="14" spans="1:26" customFormat="1" x14ac:dyDescent="0.35">
      <c r="A14" s="3" t="s">
        <v>28</v>
      </c>
      <c r="B14" s="6">
        <v>2.5944529980925241E-3</v>
      </c>
      <c r="C14" s="8" t="s">
        <v>29</v>
      </c>
      <c r="D14" s="33" t="s">
        <v>336</v>
      </c>
      <c r="E14" s="25">
        <v>19288.22</v>
      </c>
      <c r="F14" s="25">
        <v>21027.93</v>
      </c>
      <c r="G14" s="28">
        <v>21027.93</v>
      </c>
      <c r="H14" s="28">
        <v>43573.94</v>
      </c>
      <c r="I14" s="28">
        <v>19178.96</v>
      </c>
      <c r="J14" s="7">
        <f>$B14*'Distributor Payments'!H$21</f>
        <v>43573.936122498351</v>
      </c>
      <c r="K14" s="7">
        <f>$B14*'Distributor Payments'!I$21</f>
        <v>43573.936122080428</v>
      </c>
      <c r="L14" s="7">
        <f>$B14*'Distributor Payments'!J$21</f>
        <v>16601.669661694908</v>
      </c>
      <c r="M14" s="7">
        <f>$B14*'Distributor Payments'!K$21</f>
        <v>51248.198758834456</v>
      </c>
      <c r="N14" s="7">
        <f>$B14*'Distributor Payments'!L$21</f>
        <v>51248.198758834456</v>
      </c>
      <c r="O14" s="7">
        <f>$B14*'Distributor Payments'!M$21</f>
        <v>51248.198758834456</v>
      </c>
      <c r="P14" s="7">
        <f>$B14*'Distributor Payments'!N$21</f>
        <v>43079.283096377447</v>
      </c>
      <c r="Q14" s="7">
        <f>$B14*'Distributor Payments'!O$21</f>
        <v>43079.283096377447</v>
      </c>
      <c r="R14" s="7">
        <f>$B14*'Distributor Payments'!P$21</f>
        <v>43079.283096377447</v>
      </c>
      <c r="S14" s="7">
        <f>$B14*'Distributor Payments'!Q$21</f>
        <v>43079.283096377447</v>
      </c>
      <c r="T14" s="7">
        <f>$B14*'Distributor Payments'!R$21</f>
        <v>43079.283096377447</v>
      </c>
      <c r="U14" s="7">
        <f>$B14*'Distributor Payments'!S$21</f>
        <v>43079.283096377447</v>
      </c>
      <c r="V14" s="7">
        <f>$B14*'Distributor Payments'!T$21</f>
        <v>43079.283096377447</v>
      </c>
      <c r="W14" s="7">
        <f>$B14*'Distributor Payments'!U$21</f>
        <v>43079.283096377447</v>
      </c>
      <c r="X14" s="7">
        <f>B14*'Distributor Payments'!$V$21</f>
        <v>10544.734065028553</v>
      </c>
      <c r="Y14" s="7">
        <v>0</v>
      </c>
      <c r="Z14" s="7">
        <f t="shared" si="0"/>
        <v>736770.11701882537</v>
      </c>
    </row>
    <row r="15" spans="1:26" customFormat="1" x14ac:dyDescent="0.35">
      <c r="A15" s="3" t="s">
        <v>30</v>
      </c>
      <c r="B15" s="6">
        <v>2.6667265464000002E-3</v>
      </c>
      <c r="C15" s="8" t="s">
        <v>30</v>
      </c>
      <c r="D15" s="33" t="s">
        <v>336</v>
      </c>
      <c r="E15" s="25">
        <v>19233.93</v>
      </c>
      <c r="F15" s="25">
        <v>20968.740000000002</v>
      </c>
      <c r="G15" s="28">
        <v>20968.740000000002</v>
      </c>
      <c r="H15" s="28">
        <v>44787.77</v>
      </c>
      <c r="I15" s="28">
        <v>19713.23</v>
      </c>
      <c r="J15" s="7">
        <f>$B15*'Distributor Payments'!H$21</f>
        <v>44787.773096847712</v>
      </c>
      <c r="K15" s="7">
        <f>$B15*'Distributor Payments'!I$21</f>
        <v>44787.773096418146</v>
      </c>
      <c r="L15" s="7">
        <f>$B15*'Distributor Payments'!J$21</f>
        <v>17064.141548894801</v>
      </c>
      <c r="M15" s="7">
        <f>$B15*'Distributor Payments'!K$21</f>
        <v>52675.817286281628</v>
      </c>
      <c r="N15" s="7">
        <f>$B15*'Distributor Payments'!L$21</f>
        <v>52675.817286281628</v>
      </c>
      <c r="O15" s="7">
        <f>$B15*'Distributor Payments'!M$21</f>
        <v>52675.817286281628</v>
      </c>
      <c r="P15" s="7">
        <f>$B15*'Distributor Payments'!N$21</f>
        <v>44279.340545946412</v>
      </c>
      <c r="Q15" s="7">
        <f>$B15*'Distributor Payments'!O$21</f>
        <v>44279.340545946412</v>
      </c>
      <c r="R15" s="7">
        <f>$B15*'Distributor Payments'!P$21</f>
        <v>44279.340545946412</v>
      </c>
      <c r="S15" s="7">
        <f>$B15*'Distributor Payments'!Q$21</f>
        <v>44279.340545946412</v>
      </c>
      <c r="T15" s="7">
        <f>$B15*'Distributor Payments'!R$21</f>
        <v>44279.340545946412</v>
      </c>
      <c r="U15" s="7">
        <f>$B15*'Distributor Payments'!S$21</f>
        <v>44279.340545946412</v>
      </c>
      <c r="V15" s="7">
        <f>$B15*'Distributor Payments'!T$21</f>
        <v>44279.340545946412</v>
      </c>
      <c r="W15" s="7">
        <f>$B15*'Distributor Payments'!U$21</f>
        <v>44279.340545946412</v>
      </c>
      <c r="X15" s="7">
        <f>B15*'Distributor Payments'!$V$21</f>
        <v>10838.478198145876</v>
      </c>
      <c r="Y15" s="7">
        <v>0</v>
      </c>
      <c r="Z15" s="7">
        <f t="shared" si="0"/>
        <v>755412.75216672244</v>
      </c>
    </row>
    <row r="16" spans="1:26" customFormat="1" x14ac:dyDescent="0.35">
      <c r="A16" s="3" t="s">
        <v>31</v>
      </c>
      <c r="B16" s="6">
        <v>7.355534001327131E-6</v>
      </c>
      <c r="C16" s="8" t="s">
        <v>32</v>
      </c>
      <c r="D16" s="8" t="s">
        <v>337</v>
      </c>
      <c r="E16" s="25">
        <v>0</v>
      </c>
      <c r="F16" s="25">
        <v>0</v>
      </c>
      <c r="G16" s="25">
        <v>0</v>
      </c>
      <c r="H16" s="28">
        <v>0</v>
      </c>
      <c r="I16" s="26">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7">
        <f t="shared" si="0"/>
        <v>0</v>
      </c>
    </row>
    <row r="17" spans="1:26" customFormat="1" x14ac:dyDescent="0.35">
      <c r="A17" s="3" t="s">
        <v>33</v>
      </c>
      <c r="B17" s="6">
        <v>1.8055048905600002E-3</v>
      </c>
      <c r="C17" s="8" t="s">
        <v>33</v>
      </c>
      <c r="D17" s="33" t="s">
        <v>336</v>
      </c>
      <c r="E17" s="25">
        <v>13022.31</v>
      </c>
      <c r="F17" s="25">
        <v>14196.86</v>
      </c>
      <c r="G17" s="28">
        <v>14196.86</v>
      </c>
      <c r="H17" s="28">
        <v>30323.52</v>
      </c>
      <c r="I17" s="28">
        <v>13346.82</v>
      </c>
      <c r="J17" s="7">
        <f>$B17*'Distributor Payments'!H$21</f>
        <v>30323.522849695568</v>
      </c>
      <c r="K17" s="7">
        <f>$B17*'Distributor Payments'!I$21</f>
        <v>30323.522849404726</v>
      </c>
      <c r="L17" s="7">
        <f>$B17*'Distributor Payments'!J$21</f>
        <v>11553.262205054134</v>
      </c>
      <c r="M17" s="7">
        <f>$B17*'Distributor Payments'!K$21</f>
        <v>35664.116312569538</v>
      </c>
      <c r="N17" s="7">
        <f>$B17*'Distributor Payments'!L$21</f>
        <v>35664.116312569538</v>
      </c>
      <c r="O17" s="7">
        <f>$B17*'Distributor Payments'!M$21</f>
        <v>35664.116312569538</v>
      </c>
      <c r="P17" s="7">
        <f>$B17*'Distributor Payments'!N$21</f>
        <v>29979.289032991921</v>
      </c>
      <c r="Q17" s="7">
        <f>$B17*'Distributor Payments'!O$21</f>
        <v>29979.289032991921</v>
      </c>
      <c r="R17" s="7">
        <f>$B17*'Distributor Payments'!P$21</f>
        <v>29979.289032991921</v>
      </c>
      <c r="S17" s="7">
        <f>$B17*'Distributor Payments'!Q$21</f>
        <v>29979.289032991921</v>
      </c>
      <c r="T17" s="7">
        <f>$B17*'Distributor Payments'!R$21</f>
        <v>29979.289032991921</v>
      </c>
      <c r="U17" s="7">
        <f>$B17*'Distributor Payments'!S$21</f>
        <v>29979.289032991921</v>
      </c>
      <c r="V17" s="7">
        <f>$B17*'Distributor Payments'!T$21</f>
        <v>29979.289032991921</v>
      </c>
      <c r="W17" s="7">
        <f>$B17*'Distributor Payments'!U$21</f>
        <v>29979.289032991921</v>
      </c>
      <c r="X17" s="7">
        <f>B17*'Distributor Payments'!$V$21</f>
        <v>7338.1822442191433</v>
      </c>
      <c r="Y17" s="7">
        <v>0</v>
      </c>
      <c r="Z17" s="7">
        <f t="shared" si="0"/>
        <v>511451.52135001752</v>
      </c>
    </row>
    <row r="18" spans="1:26" customFormat="1" x14ac:dyDescent="0.35">
      <c r="A18" s="3" t="s">
        <v>34</v>
      </c>
      <c r="B18" s="6">
        <v>6.5916371099747253E-4</v>
      </c>
      <c r="C18" s="8" t="s">
        <v>35</v>
      </c>
      <c r="D18" s="33" t="s">
        <v>336</v>
      </c>
      <c r="E18" s="25">
        <v>4900.49</v>
      </c>
      <c r="F18" s="25">
        <v>5342.49</v>
      </c>
      <c r="G18" s="28">
        <v>5342.49</v>
      </c>
      <c r="H18" s="28">
        <v>11070.68</v>
      </c>
      <c r="I18" s="28">
        <v>4872.7299999999996</v>
      </c>
      <c r="J18" s="7">
        <f>$B18*'Distributor Payments'!H$21</f>
        <v>11070.679429687061</v>
      </c>
      <c r="K18" s="7">
        <f>$B18*'Distributor Payments'!I$21</f>
        <v>11070.67942958088</v>
      </c>
      <c r="L18" s="7">
        <f>$B18*'Distributor Payments'!J$21</f>
        <v>4217.9288624625569</v>
      </c>
      <c r="M18" s="7">
        <f>$B18*'Distributor Payments'!K$21</f>
        <v>13020.452827877623</v>
      </c>
      <c r="N18" s="7">
        <f>$B18*'Distributor Payments'!L$21</f>
        <v>13020.452827877623</v>
      </c>
      <c r="O18" s="7">
        <f>$B18*'Distributor Payments'!M$21</f>
        <v>13020.452827877623</v>
      </c>
      <c r="P18" s="7">
        <f>$B18*'Distributor Payments'!N$21</f>
        <v>10945.0046440603</v>
      </c>
      <c r="Q18" s="7">
        <f>$B18*'Distributor Payments'!O$21</f>
        <v>10945.0046440603</v>
      </c>
      <c r="R18" s="7">
        <f>$B18*'Distributor Payments'!P$21</f>
        <v>10945.0046440603</v>
      </c>
      <c r="S18" s="7">
        <f>$B18*'Distributor Payments'!Q$21</f>
        <v>10945.0046440603</v>
      </c>
      <c r="T18" s="7">
        <f>$B18*'Distributor Payments'!R$21</f>
        <v>10945.0046440603</v>
      </c>
      <c r="U18" s="7">
        <f>$B18*'Distributor Payments'!S$21</f>
        <v>10945.0046440603</v>
      </c>
      <c r="V18" s="7">
        <f>$B18*'Distributor Payments'!T$21</f>
        <v>10945.0046440603</v>
      </c>
      <c r="W18" s="7">
        <f>$B18*'Distributor Payments'!U$21</f>
        <v>10945.0046440603</v>
      </c>
      <c r="X18" s="7">
        <f>B18*'Distributor Payments'!$V$21</f>
        <v>2679.0641583778684</v>
      </c>
      <c r="Y18" s="7">
        <v>0</v>
      </c>
      <c r="Z18" s="7">
        <f t="shared" si="0"/>
        <v>187188.62751622367</v>
      </c>
    </row>
    <row r="19" spans="1:26" customFormat="1" x14ac:dyDescent="0.35">
      <c r="A19" s="3" t="s">
        <v>36</v>
      </c>
      <c r="B19" s="6">
        <v>6.1189832384893691E-5</v>
      </c>
      <c r="C19" s="8" t="s">
        <v>37</v>
      </c>
      <c r="D19" s="8" t="s">
        <v>337</v>
      </c>
      <c r="E19" s="25">
        <v>0</v>
      </c>
      <c r="F19" s="29">
        <v>0</v>
      </c>
      <c r="G19" s="28">
        <v>0</v>
      </c>
      <c r="H19" s="28">
        <v>0</v>
      </c>
      <c r="I19" s="26">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7">
        <f t="shared" si="0"/>
        <v>0</v>
      </c>
    </row>
    <row r="20" spans="1:26" customFormat="1" x14ac:dyDescent="0.35">
      <c r="A20" s="3" t="s">
        <v>38</v>
      </c>
      <c r="B20" s="6">
        <v>8.3004606496000003E-4</v>
      </c>
      <c r="C20" s="8" t="s">
        <v>38</v>
      </c>
      <c r="D20" s="33" t="s">
        <v>336</v>
      </c>
      <c r="E20" s="25">
        <v>5986.76</v>
      </c>
      <c r="F20" s="25">
        <v>6526.73</v>
      </c>
      <c r="G20" s="28">
        <v>6526.73</v>
      </c>
      <c r="H20" s="28">
        <v>13940.66</v>
      </c>
      <c r="I20" s="28">
        <v>6135.95</v>
      </c>
      <c r="J20" s="7">
        <f>$B20*'Distributor Payments'!H$21</f>
        <v>13940.655020495504</v>
      </c>
      <c r="K20" s="7">
        <f>$B20*'Distributor Payments'!I$21</f>
        <v>13940.655020361795</v>
      </c>
      <c r="L20" s="7">
        <f>$B20*'Distributor Payments'!J$21</f>
        <v>5311.3895624962261</v>
      </c>
      <c r="M20" s="7">
        <f>$B20*'Distributor Payments'!K$21</f>
        <v>16395.889903318064</v>
      </c>
      <c r="N20" s="7">
        <f>$B20*'Distributor Payments'!L$21</f>
        <v>16395.889903318064</v>
      </c>
      <c r="O20" s="7">
        <f>$B20*'Distributor Payments'!M$21</f>
        <v>16395.889903318064</v>
      </c>
      <c r="P20" s="7">
        <f>$B20*'Distributor Payments'!N$21</f>
        <v>13782.400159777624</v>
      </c>
      <c r="Q20" s="7">
        <f>$B20*'Distributor Payments'!O$21</f>
        <v>13782.400159777624</v>
      </c>
      <c r="R20" s="7">
        <f>$B20*'Distributor Payments'!P$21</f>
        <v>13782.400159777624</v>
      </c>
      <c r="S20" s="7">
        <f>$B20*'Distributor Payments'!Q$21</f>
        <v>13782.400159777624</v>
      </c>
      <c r="T20" s="7">
        <f>$B20*'Distributor Payments'!R$21</f>
        <v>13782.400159777624</v>
      </c>
      <c r="U20" s="7">
        <f>$B20*'Distributor Payments'!S$21</f>
        <v>13782.400159777624</v>
      </c>
      <c r="V20" s="7">
        <f>$B20*'Distributor Payments'!T$21</f>
        <v>13782.400159777624</v>
      </c>
      <c r="W20" s="7">
        <f>$B20*'Distributor Payments'!U$21</f>
        <v>13782.400159777624</v>
      </c>
      <c r="X20" s="7">
        <f>B20*'Distributor Payments'!$V$21</f>
        <v>3373.5878133701603</v>
      </c>
      <c r="Y20" s="7">
        <v>0</v>
      </c>
      <c r="Z20" s="7">
        <f t="shared" si="0"/>
        <v>235129.98840489899</v>
      </c>
    </row>
    <row r="21" spans="1:26" customFormat="1" x14ac:dyDescent="0.35">
      <c r="A21" s="3" t="s">
        <v>39</v>
      </c>
      <c r="B21" s="6">
        <v>2.4250001930187712E-3</v>
      </c>
      <c r="C21" s="8" t="s">
        <v>39</v>
      </c>
      <c r="D21" s="33" t="s">
        <v>336</v>
      </c>
      <c r="E21" s="25">
        <v>18028.439999999999</v>
      </c>
      <c r="F21" s="25">
        <v>19654.52</v>
      </c>
      <c r="G21" s="28">
        <v>19654.52</v>
      </c>
      <c r="H21" s="28">
        <v>40727.97</v>
      </c>
      <c r="I21" s="28">
        <v>17926.32</v>
      </c>
      <c r="J21" s="7">
        <f>$B21*'Distributor Payments'!H$21</f>
        <v>40727.96985928584</v>
      </c>
      <c r="K21" s="7">
        <f>$B21*'Distributor Payments'!I$21</f>
        <v>40727.969858895209</v>
      </c>
      <c r="L21" s="7">
        <f>$B21*'Distributor Payments'!J$21</f>
        <v>15517.356515474752</v>
      </c>
      <c r="M21" s="7">
        <f>$B21*'Distributor Payments'!K$21</f>
        <v>47900.999545340732</v>
      </c>
      <c r="N21" s="7">
        <f>$B21*'Distributor Payments'!L$21</f>
        <v>47900.999545340732</v>
      </c>
      <c r="O21" s="7">
        <f>$B21*'Distributor Payments'!M$21</f>
        <v>47900.999545340732</v>
      </c>
      <c r="P21" s="7">
        <f>$B21*'Distributor Payments'!N$21</f>
        <v>40265.624353430685</v>
      </c>
      <c r="Q21" s="7">
        <f>$B21*'Distributor Payments'!O$21</f>
        <v>40265.624353430685</v>
      </c>
      <c r="R21" s="7">
        <f>$B21*'Distributor Payments'!P$21</f>
        <v>40265.624353430685</v>
      </c>
      <c r="S21" s="7">
        <f>$B21*'Distributor Payments'!Q$21</f>
        <v>40265.624353430685</v>
      </c>
      <c r="T21" s="7">
        <f>$B21*'Distributor Payments'!R$21</f>
        <v>40265.624353430685</v>
      </c>
      <c r="U21" s="7">
        <f>$B21*'Distributor Payments'!S$21</f>
        <v>40265.624353430685</v>
      </c>
      <c r="V21" s="7">
        <f>$B21*'Distributor Payments'!T$21</f>
        <v>40265.624353430685</v>
      </c>
      <c r="W21" s="7">
        <f>$B21*'Distributor Payments'!U$21</f>
        <v>40265.624353430685</v>
      </c>
      <c r="X21" s="7">
        <f>B21*'Distributor Payments'!$V$21</f>
        <v>9856.0205799935375</v>
      </c>
      <c r="Y21" s="7">
        <v>0</v>
      </c>
      <c r="Z21" s="7">
        <f t="shared" si="0"/>
        <v>688649.08027711697</v>
      </c>
    </row>
    <row r="22" spans="1:26" customFormat="1" x14ac:dyDescent="0.35">
      <c r="A22" s="3" t="s">
        <v>40</v>
      </c>
      <c r="B22" s="6">
        <v>3.0130795312697611E-4</v>
      </c>
      <c r="C22" s="8" t="s">
        <v>41</v>
      </c>
      <c r="D22" s="33" t="s">
        <v>336</v>
      </c>
      <c r="E22" s="25">
        <v>2240.0500000000002</v>
      </c>
      <c r="F22" s="25">
        <v>2442.09</v>
      </c>
      <c r="G22" s="28">
        <v>2442.09</v>
      </c>
      <c r="H22" s="28">
        <v>5060.4799999999996</v>
      </c>
      <c r="I22" s="28">
        <v>2227.36</v>
      </c>
      <c r="J22" s="7">
        <f>$B22*'Distributor Payments'!H$21</f>
        <v>5060.4784563097983</v>
      </c>
      <c r="K22" s="7">
        <f>$B22*'Distributor Payments'!I$21</f>
        <v>5060.4784562612622</v>
      </c>
      <c r="L22" s="7">
        <f>$B22*'Distributor Payments'!J$21</f>
        <v>1928.0422917405731</v>
      </c>
      <c r="M22" s="7">
        <f>$B22*'Distributor Payments'!K$21</f>
        <v>5951.7323616275316</v>
      </c>
      <c r="N22" s="7">
        <f>$B22*'Distributor Payments'!L$21</f>
        <v>5951.7323616275316</v>
      </c>
      <c r="O22" s="7">
        <f>$B22*'Distributor Payments'!M$21</f>
        <v>5951.7323616275316</v>
      </c>
      <c r="P22" s="7">
        <f>$B22*'Distributor Payments'!N$21</f>
        <v>5003.0317070651081</v>
      </c>
      <c r="Q22" s="7">
        <f>$B22*'Distributor Payments'!O$21</f>
        <v>5003.0317070651081</v>
      </c>
      <c r="R22" s="7">
        <f>$B22*'Distributor Payments'!P$21</f>
        <v>5003.0317070651081</v>
      </c>
      <c r="S22" s="7">
        <f>$B22*'Distributor Payments'!Q$21</f>
        <v>5003.0317070651081</v>
      </c>
      <c r="T22" s="7">
        <f>$B22*'Distributor Payments'!R$21</f>
        <v>5003.0317070651081</v>
      </c>
      <c r="U22" s="7">
        <f>$B22*'Distributor Payments'!S$21</f>
        <v>5003.0317070651081</v>
      </c>
      <c r="V22" s="7">
        <f>$B22*'Distributor Payments'!T$21</f>
        <v>5003.0317070651081</v>
      </c>
      <c r="W22" s="7">
        <f>$B22*'Distributor Payments'!U$21</f>
        <v>5003.0317070651081</v>
      </c>
      <c r="X22" s="7">
        <f>B22*'Distributor Payments'!$V$21</f>
        <v>1224.617381674665</v>
      </c>
      <c r="Y22" s="7">
        <v>0</v>
      </c>
      <c r="Z22" s="7">
        <f t="shared" si="0"/>
        <v>85565.137327389748</v>
      </c>
    </row>
    <row r="23" spans="1:26" customFormat="1" x14ac:dyDescent="0.35">
      <c r="A23" s="3" t="s">
        <v>42</v>
      </c>
      <c r="B23" s="6">
        <v>1.9175645879672782E-3</v>
      </c>
      <c r="C23" s="8" t="s">
        <v>43</v>
      </c>
      <c r="D23" s="33" t="s">
        <v>336</v>
      </c>
      <c r="E23" s="25">
        <v>14255.96</v>
      </c>
      <c r="F23" s="25">
        <v>15541.78</v>
      </c>
      <c r="G23" s="28">
        <v>15541.78</v>
      </c>
      <c r="H23" s="28">
        <v>32205.57</v>
      </c>
      <c r="I23" s="28">
        <v>14175.2</v>
      </c>
      <c r="J23" s="7">
        <f>$B23*'Distributor Payments'!H$21</f>
        <v>32205.569701313689</v>
      </c>
      <c r="K23" s="7">
        <f>$B23*'Distributor Payments'!I$21</f>
        <v>32205.569701004795</v>
      </c>
      <c r="L23" s="7">
        <f>$B23*'Distributor Payments'!J$21</f>
        <v>12270.32205547844</v>
      </c>
      <c r="M23" s="7">
        <f>$B23*'Distributor Payments'!K$21</f>
        <v>37877.630163005553</v>
      </c>
      <c r="N23" s="7">
        <f>$B23*'Distributor Payments'!L$21</f>
        <v>37877.630163005553</v>
      </c>
      <c r="O23" s="7">
        <f>$B23*'Distributor Payments'!M$21</f>
        <v>37877.630163005553</v>
      </c>
      <c r="P23" s="7">
        <f>$B23*'Distributor Payments'!N$21</f>
        <v>31839.970815183286</v>
      </c>
      <c r="Q23" s="7">
        <f>$B23*'Distributor Payments'!O$21</f>
        <v>31839.970815183286</v>
      </c>
      <c r="R23" s="7">
        <f>$B23*'Distributor Payments'!P$21</f>
        <v>31839.970815183286</v>
      </c>
      <c r="S23" s="7">
        <f>$B23*'Distributor Payments'!Q$21</f>
        <v>31839.970815183286</v>
      </c>
      <c r="T23" s="7">
        <f>$B23*'Distributor Payments'!R$21</f>
        <v>31839.970815183286</v>
      </c>
      <c r="U23" s="7">
        <f>$B23*'Distributor Payments'!S$21</f>
        <v>31839.970815183286</v>
      </c>
      <c r="V23" s="7">
        <f>$B23*'Distributor Payments'!T$21</f>
        <v>31839.970815183286</v>
      </c>
      <c r="W23" s="7">
        <f>$B23*'Distributor Payments'!U$21</f>
        <v>31839.970815183286</v>
      </c>
      <c r="X23" s="7">
        <f>B23*'Distributor Payments'!$V$21</f>
        <v>7793.6307373836271</v>
      </c>
      <c r="Y23" s="7">
        <v>0</v>
      </c>
      <c r="Z23" s="7">
        <f t="shared" si="0"/>
        <v>544548.0392056636</v>
      </c>
    </row>
    <row r="24" spans="1:26" customFormat="1" x14ac:dyDescent="0.35">
      <c r="A24" s="3" t="s">
        <v>36</v>
      </c>
      <c r="B24" s="6">
        <v>6.4286679499562843E-4</v>
      </c>
      <c r="C24" s="8" t="s">
        <v>44</v>
      </c>
      <c r="D24" s="33" t="s">
        <v>336</v>
      </c>
      <c r="E24" s="25">
        <v>4779.33</v>
      </c>
      <c r="F24" s="25">
        <v>5210.41</v>
      </c>
      <c r="G24" s="28">
        <v>5210.41</v>
      </c>
      <c r="H24" s="28">
        <v>10796.97</v>
      </c>
      <c r="I24" s="28">
        <v>4752.26</v>
      </c>
      <c r="J24" s="7">
        <f>$B24*'Distributor Payments'!H$21</f>
        <v>10796.972109731692</v>
      </c>
      <c r="K24" s="7">
        <f>$B24*'Distributor Payments'!I$21</f>
        <v>10796.972109628137</v>
      </c>
      <c r="L24" s="7">
        <f>$B24*'Distributor Payments'!J$21</f>
        <v>4113.646373565698</v>
      </c>
      <c r="M24" s="7">
        <f>$B24*'Distributor Payments'!K$21</f>
        <v>12698.540042780889</v>
      </c>
      <c r="N24" s="7">
        <f>$B24*'Distributor Payments'!L$21</f>
        <v>12698.540042780889</v>
      </c>
      <c r="O24" s="7">
        <f>$B24*'Distributor Payments'!M$21</f>
        <v>12698.540042780889</v>
      </c>
      <c r="P24" s="7">
        <f>$B24*'Distributor Payments'!N$21</f>
        <v>10674.404460299989</v>
      </c>
      <c r="Q24" s="7">
        <f>$B24*'Distributor Payments'!O$21</f>
        <v>10674.404460299989</v>
      </c>
      <c r="R24" s="7">
        <f>$B24*'Distributor Payments'!P$21</f>
        <v>10674.404460299989</v>
      </c>
      <c r="S24" s="7">
        <f>$B24*'Distributor Payments'!Q$21</f>
        <v>10674.404460299989</v>
      </c>
      <c r="T24" s="7">
        <f>$B24*'Distributor Payments'!R$21</f>
        <v>10674.404460299989</v>
      </c>
      <c r="U24" s="7">
        <f>$B24*'Distributor Payments'!S$21</f>
        <v>10674.404460299989</v>
      </c>
      <c r="V24" s="7">
        <f>$B24*'Distributor Payments'!T$21</f>
        <v>10674.404460299989</v>
      </c>
      <c r="W24" s="7">
        <f>$B24*'Distributor Payments'!U$21</f>
        <v>10674.404460299989</v>
      </c>
      <c r="X24" s="7">
        <f>B24*'Distributor Payments'!$V$21</f>
        <v>2612.8279824109504</v>
      </c>
      <c r="Y24" s="7">
        <v>0</v>
      </c>
      <c r="Z24" s="7">
        <f t="shared" si="0"/>
        <v>182560.65438607911</v>
      </c>
    </row>
    <row r="25" spans="1:26" customFormat="1" x14ac:dyDescent="0.35">
      <c r="A25" s="3" t="s">
        <v>36</v>
      </c>
      <c r="B25" s="6">
        <v>1.1889744773040003E-2</v>
      </c>
      <c r="C25" s="8" t="s">
        <v>36</v>
      </c>
      <c r="D25" s="33" t="s">
        <v>336</v>
      </c>
      <c r="E25" s="25">
        <v>86394.36</v>
      </c>
      <c r="F25" s="25">
        <v>94186.72</v>
      </c>
      <c r="G25" s="28">
        <v>94186.720388292742</v>
      </c>
      <c r="H25" s="28">
        <v>201131.93156300459</v>
      </c>
      <c r="I25" s="28">
        <v>88527.730466605208</v>
      </c>
      <c r="J25" s="7">
        <f>$B25*'Distributor Payments'!H$21</f>
        <v>199688.71266280604</v>
      </c>
      <c r="K25" s="7">
        <f>$B25*'Distributor Payments'!I$21</f>
        <v>199688.71266089077</v>
      </c>
      <c r="L25" s="7">
        <f>$B25*'Distributor Payments'!J$21</f>
        <v>76081.399520051928</v>
      </c>
      <c r="M25" s="7">
        <f>$B25*'Distributor Payments'!K$21</f>
        <v>234857.98500437397</v>
      </c>
      <c r="N25" s="7">
        <f>$B25*'Distributor Payments'!L$21</f>
        <v>234857.98500437397</v>
      </c>
      <c r="O25" s="7">
        <f>$B25*'Distributor Payments'!M$21</f>
        <v>234857.98500437397</v>
      </c>
      <c r="P25" s="7">
        <f>$B25*'Distributor Payments'!N$21</f>
        <v>197421.83859104081</v>
      </c>
      <c r="Q25" s="7">
        <f>$B25*'Distributor Payments'!O$21</f>
        <v>197421.83859104081</v>
      </c>
      <c r="R25" s="7">
        <f>$B25*'Distributor Payments'!P$21</f>
        <v>197421.83859104081</v>
      </c>
      <c r="S25" s="7">
        <f>$B25*'Distributor Payments'!Q$21</f>
        <v>197421.83859104081</v>
      </c>
      <c r="T25" s="7">
        <f>$B25*'Distributor Payments'!R$21</f>
        <v>197421.83859104081</v>
      </c>
      <c r="U25" s="7">
        <f>$B25*'Distributor Payments'!S$21</f>
        <v>197421.83859104081</v>
      </c>
      <c r="V25" s="7">
        <f>$B25*'Distributor Payments'!T$21</f>
        <v>197421.83859104081</v>
      </c>
      <c r="W25" s="7">
        <f>$B25*'Distributor Payments'!U$21</f>
        <v>197421.83859104081</v>
      </c>
      <c r="X25" s="7">
        <f>B25*'Distributor Payments'!$V$21</f>
        <v>48323.942204752544</v>
      </c>
      <c r="Y25" s="7">
        <v>0</v>
      </c>
      <c r="Z25" s="7">
        <f t="shared" si="0"/>
        <v>3372158.8932078532</v>
      </c>
    </row>
    <row r="26" spans="1:26" customFormat="1" x14ac:dyDescent="0.35">
      <c r="A26" s="3" t="s">
        <v>45</v>
      </c>
      <c r="B26" s="6">
        <v>2.3108667263567752E-4</v>
      </c>
      <c r="C26" s="8" t="s">
        <v>46</v>
      </c>
      <c r="D26" s="33" t="s">
        <v>336</v>
      </c>
      <c r="E26" s="25">
        <v>1717.99</v>
      </c>
      <c r="F26" s="25">
        <v>1872.95</v>
      </c>
      <c r="G26" s="28">
        <v>1872.95</v>
      </c>
      <c r="H26" s="28">
        <v>3881.11</v>
      </c>
      <c r="I26" s="28">
        <v>1708.26</v>
      </c>
      <c r="J26" s="7">
        <f>$B26*'Distributor Payments'!H$21</f>
        <v>3881.1093974686851</v>
      </c>
      <c r="K26" s="7">
        <f>$B26*'Distributor Payments'!I$21</f>
        <v>3881.1093974314604</v>
      </c>
      <c r="L26" s="7">
        <f>$B26*'Distributor Payments'!J$21</f>
        <v>1478.7026803485514</v>
      </c>
      <c r="M26" s="7">
        <f>$B26*'Distributor Payments'!K$21</f>
        <v>4564.6522555844631</v>
      </c>
      <c r="N26" s="7">
        <f>$B26*'Distributor Payments'!L$21</f>
        <v>4564.6522555844631</v>
      </c>
      <c r="O26" s="7">
        <f>$B26*'Distributor Payments'!M$21</f>
        <v>4564.6522555844631</v>
      </c>
      <c r="P26" s="7">
        <f>$B26*'Distributor Payments'!N$21</f>
        <v>3837.0508918802279</v>
      </c>
      <c r="Q26" s="7">
        <f>$B26*'Distributor Payments'!O$21</f>
        <v>3837.0508918802279</v>
      </c>
      <c r="R26" s="7">
        <f>$B26*'Distributor Payments'!P$21</f>
        <v>3837.0508918802279</v>
      </c>
      <c r="S26" s="7">
        <f>$B26*'Distributor Payments'!Q$21</f>
        <v>3837.0508918802279</v>
      </c>
      <c r="T26" s="7">
        <f>$B26*'Distributor Payments'!R$21</f>
        <v>3837.0508918802279</v>
      </c>
      <c r="U26" s="7">
        <f>$B26*'Distributor Payments'!S$21</f>
        <v>3837.0508918802279</v>
      </c>
      <c r="V26" s="7">
        <f>$B26*'Distributor Payments'!T$21</f>
        <v>3837.0508918802279</v>
      </c>
      <c r="W26" s="7">
        <f>$B26*'Distributor Payments'!U$21</f>
        <v>3837.0508918802279</v>
      </c>
      <c r="X26" s="7">
        <f>B26*'Distributor Payments'!$V$21</f>
        <v>939.2143587519447</v>
      </c>
      <c r="Y26" s="7">
        <v>0</v>
      </c>
      <c r="Z26" s="7">
        <f t="shared" si="0"/>
        <v>65623.759735795873</v>
      </c>
    </row>
    <row r="27" spans="1:26" customFormat="1" x14ac:dyDescent="0.35">
      <c r="A27" s="3" t="s">
        <v>47</v>
      </c>
      <c r="B27" s="6">
        <v>5.0813180605809515E-4</v>
      </c>
      <c r="C27" s="8" t="s">
        <v>48</v>
      </c>
      <c r="D27" s="33" t="s">
        <v>336</v>
      </c>
      <c r="E27" s="25">
        <v>3777.66</v>
      </c>
      <c r="F27" s="29">
        <v>4118.3900000000003</v>
      </c>
      <c r="G27" s="28">
        <v>4118.3900000000003</v>
      </c>
      <c r="H27" s="28">
        <v>8534.09</v>
      </c>
      <c r="I27" s="28">
        <v>3756.26</v>
      </c>
      <c r="J27" s="7">
        <f>$B27*'Distributor Payments'!H$21</f>
        <v>8534.0928801808077</v>
      </c>
      <c r="K27" s="7">
        <f>$B27*'Distributor Payments'!I$21</f>
        <v>8534.092880098955</v>
      </c>
      <c r="L27" s="7">
        <f>$B27*'Distributor Payments'!J$21</f>
        <v>3251.4893871575464</v>
      </c>
      <c r="M27" s="7">
        <f>$B27*'Distributor Payments'!K$21</f>
        <v>10037.121432416139</v>
      </c>
      <c r="N27" s="7">
        <f>$B27*'Distributor Payments'!L$21</f>
        <v>10037.121432416139</v>
      </c>
      <c r="O27" s="7">
        <f>$B27*'Distributor Payments'!M$21</f>
        <v>10037.121432416139</v>
      </c>
      <c r="P27" s="7">
        <f>$B27*'Distributor Payments'!N$21</f>
        <v>8437.2135242164804</v>
      </c>
      <c r="Q27" s="7">
        <f>$B27*'Distributor Payments'!O$21</f>
        <v>8437.2135242164804</v>
      </c>
      <c r="R27" s="7">
        <f>$B27*'Distributor Payments'!P$21</f>
        <v>8437.2135242164804</v>
      </c>
      <c r="S27" s="7">
        <f>$B27*'Distributor Payments'!Q$21</f>
        <v>8437.2135242164804</v>
      </c>
      <c r="T27" s="7">
        <f>$B27*'Distributor Payments'!R$21</f>
        <v>8437.2135242164804</v>
      </c>
      <c r="U27" s="7">
        <f>$B27*'Distributor Payments'!S$21</f>
        <v>8437.2135242164804</v>
      </c>
      <c r="V27" s="7">
        <f>$B27*'Distributor Payments'!T$21</f>
        <v>8437.2135242164804</v>
      </c>
      <c r="W27" s="7">
        <f>$B27*'Distributor Payments'!U$21</f>
        <v>8437.2135242164804</v>
      </c>
      <c r="X27" s="7">
        <f>B27*'Distributor Payments'!$V$21</f>
        <v>2065.2194388584549</v>
      </c>
      <c r="Y27" s="7">
        <v>0</v>
      </c>
      <c r="Z27" s="7">
        <f t="shared" si="0"/>
        <v>144298.75707727601</v>
      </c>
    </row>
    <row r="28" spans="1:26" customFormat="1" x14ac:dyDescent="0.35">
      <c r="A28" s="3" t="s">
        <v>49</v>
      </c>
      <c r="B28" s="6">
        <v>1.5597090017600002E-3</v>
      </c>
      <c r="C28" s="8" t="s">
        <v>49</v>
      </c>
      <c r="D28" s="33" t="s">
        <v>336</v>
      </c>
      <c r="E28" s="25">
        <v>11249.5</v>
      </c>
      <c r="F28" s="25">
        <v>12264.15</v>
      </c>
      <c r="G28" s="28">
        <v>12264.15</v>
      </c>
      <c r="H28" s="28">
        <v>26195.37</v>
      </c>
      <c r="I28" s="28">
        <v>11529.83</v>
      </c>
      <c r="J28" s="7">
        <f>$B28*'Distributor Payments'!H$21</f>
        <v>26195.371611026661</v>
      </c>
      <c r="K28" s="7">
        <f>$B28*'Distributor Payments'!I$21</f>
        <v>26195.371610775415</v>
      </c>
      <c r="L28" s="7">
        <f>$B28*'Distributor Payments'!J$21</f>
        <v>9980.4365832138374</v>
      </c>
      <c r="M28" s="7">
        <f>$B28*'Distributor Payments'!K$21</f>
        <v>30808.913087616937</v>
      </c>
      <c r="N28" s="7">
        <f>$B28*'Distributor Payments'!L$21</f>
        <v>30808.913087616937</v>
      </c>
      <c r="O28" s="7">
        <f>$B28*'Distributor Payments'!M$21</f>
        <v>30808.913087616937</v>
      </c>
      <c r="P28" s="7">
        <f>$B28*'Distributor Payments'!N$21</f>
        <v>25898.000728549381</v>
      </c>
      <c r="Q28" s="7">
        <f>$B28*'Distributor Payments'!O$21</f>
        <v>25898.000728549381</v>
      </c>
      <c r="R28" s="7">
        <f>$B28*'Distributor Payments'!P$21</f>
        <v>25898.000728549381</v>
      </c>
      <c r="S28" s="7">
        <f>$B28*'Distributor Payments'!Q$21</f>
        <v>25898.000728549381</v>
      </c>
      <c r="T28" s="7">
        <f>$B28*'Distributor Payments'!R$21</f>
        <v>25898.000728549381</v>
      </c>
      <c r="U28" s="7">
        <f>$B28*'Distributor Payments'!S$21</f>
        <v>25898.000728549381</v>
      </c>
      <c r="V28" s="7">
        <f>$B28*'Distributor Payments'!T$21</f>
        <v>25898.000728549381</v>
      </c>
      <c r="W28" s="7">
        <f>$B28*'Distributor Payments'!U$21</f>
        <v>25898.000728549381</v>
      </c>
      <c r="X28" s="7">
        <f>B28*'Distributor Payments'!$V$21</f>
        <v>6339.184658377776</v>
      </c>
      <c r="Y28" s="7">
        <v>0</v>
      </c>
      <c r="Z28" s="7">
        <f t="shared" si="0"/>
        <v>441824.10955463955</v>
      </c>
    </row>
    <row r="29" spans="1:26" customFormat="1" x14ac:dyDescent="0.35">
      <c r="A29" s="3" t="s">
        <v>34</v>
      </c>
      <c r="B29" s="6">
        <v>2.0103739911221842E-4</v>
      </c>
      <c r="C29" s="8" t="s">
        <v>50</v>
      </c>
      <c r="D29" s="33" t="s">
        <v>336</v>
      </c>
      <c r="E29" s="25">
        <v>1494.59</v>
      </c>
      <c r="F29" s="25">
        <v>1629.4</v>
      </c>
      <c r="G29" s="28">
        <v>1629.4</v>
      </c>
      <c r="H29" s="28">
        <v>3376.43</v>
      </c>
      <c r="I29" s="28">
        <v>1486.13</v>
      </c>
      <c r="J29" s="7">
        <f>$B29*'Distributor Payments'!H$21</f>
        <v>3376.430713367894</v>
      </c>
      <c r="K29" s="7">
        <f>$B29*'Distributor Payments'!I$21</f>
        <v>3376.4307133355096</v>
      </c>
      <c r="L29" s="7">
        <f>$B29*'Distributor Payments'!J$21</f>
        <v>1286.4201017174653</v>
      </c>
      <c r="M29" s="7">
        <f>$B29*'Distributor Payments'!K$21</f>
        <v>3971.0893183406506</v>
      </c>
      <c r="N29" s="7">
        <f>$B29*'Distributor Payments'!L$21</f>
        <v>3971.0893183406506</v>
      </c>
      <c r="O29" s="7">
        <f>$B29*'Distributor Payments'!M$21</f>
        <v>3971.0893183406506</v>
      </c>
      <c r="P29" s="7">
        <f>$B29*'Distributor Payments'!N$21</f>
        <v>3338.1013399286958</v>
      </c>
      <c r="Q29" s="7">
        <f>$B29*'Distributor Payments'!O$21</f>
        <v>3338.1013399286958</v>
      </c>
      <c r="R29" s="7">
        <f>$B29*'Distributor Payments'!P$21</f>
        <v>3338.1013399286958</v>
      </c>
      <c r="S29" s="7">
        <f>$B29*'Distributor Payments'!Q$21</f>
        <v>3338.1013399286958</v>
      </c>
      <c r="T29" s="7">
        <f>$B29*'Distributor Payments'!R$21</f>
        <v>3338.1013399286958</v>
      </c>
      <c r="U29" s="7">
        <f>$B29*'Distributor Payments'!S$21</f>
        <v>3338.1013399286958</v>
      </c>
      <c r="V29" s="7">
        <f>$B29*'Distributor Payments'!T$21</f>
        <v>3338.1013399286958</v>
      </c>
      <c r="W29" s="7">
        <f>$B29*'Distributor Payments'!U$21</f>
        <v>3338.1013399286958</v>
      </c>
      <c r="X29" s="7">
        <f>B29*'Distributor Payments'!$V$21</f>
        <v>817.08395269519951</v>
      </c>
      <c r="Y29" s="7">
        <v>0</v>
      </c>
      <c r="Z29" s="7">
        <f t="shared" si="0"/>
        <v>57090.394155567592</v>
      </c>
    </row>
    <row r="30" spans="1:26" customFormat="1" x14ac:dyDescent="0.35">
      <c r="A30" s="3" t="s">
        <v>47</v>
      </c>
      <c r="B30" s="6">
        <v>1.4353012866080001E-2</v>
      </c>
      <c r="C30" s="8" t="s">
        <v>47</v>
      </c>
      <c r="D30" s="33" t="s">
        <v>336</v>
      </c>
      <c r="E30" s="25">
        <v>104418.67</v>
      </c>
      <c r="F30" s="25">
        <v>113836.74</v>
      </c>
      <c r="G30" s="28">
        <v>113836.73546572772</v>
      </c>
      <c r="H30" s="28">
        <v>243085.0950311113</v>
      </c>
      <c r="I30" s="28">
        <v>106993.31915073804</v>
      </c>
      <c r="J30" s="7">
        <f>$B30*'Distributor Payments'!H$21</f>
        <v>241059.39334872589</v>
      </c>
      <c r="K30" s="7">
        <f>$B30*'Distributor Payments'!I$21</f>
        <v>241059.39334641382</v>
      </c>
      <c r="L30" s="7">
        <f>$B30*'Distributor Payments'!J$21</f>
        <v>91843.628860459823</v>
      </c>
      <c r="M30" s="7">
        <f>$B30*'Distributor Payments'!K$21</f>
        <v>283514.88991697825</v>
      </c>
      <c r="N30" s="7">
        <f>$B30*'Distributor Payments'!L$21</f>
        <v>283514.88991697825</v>
      </c>
      <c r="O30" s="7">
        <f>$B30*'Distributor Payments'!M$21</f>
        <v>283514.88991697825</v>
      </c>
      <c r="P30" s="7">
        <f>$B30*'Distributor Payments'!N$21</f>
        <v>238322.87769267868</v>
      </c>
      <c r="Q30" s="7">
        <f>$B30*'Distributor Payments'!O$21</f>
        <v>238322.87769267868</v>
      </c>
      <c r="R30" s="7">
        <f>$B30*'Distributor Payments'!P$21</f>
        <v>238322.87769267868</v>
      </c>
      <c r="S30" s="7">
        <f>$B30*'Distributor Payments'!Q$21</f>
        <v>238322.87769267868</v>
      </c>
      <c r="T30" s="7">
        <f>$B30*'Distributor Payments'!R$21</f>
        <v>238322.87769267868</v>
      </c>
      <c r="U30" s="7">
        <f>$B30*'Distributor Payments'!S$21</f>
        <v>238322.87769267868</v>
      </c>
      <c r="V30" s="7">
        <f>$B30*'Distributor Payments'!T$21</f>
        <v>238322.87769267868</v>
      </c>
      <c r="W30" s="7">
        <f>$B30*'Distributor Payments'!U$21</f>
        <v>238322.87769267868</v>
      </c>
      <c r="X30" s="7">
        <f>B30*'Distributor Payments'!$V$21</f>
        <v>58335.49646727863</v>
      </c>
      <c r="Y30" s="7">
        <v>0</v>
      </c>
      <c r="Z30" s="7">
        <f t="shared" si="0"/>
        <v>4071596.1629628181</v>
      </c>
    </row>
    <row r="31" spans="1:26" customFormat="1" x14ac:dyDescent="0.35">
      <c r="A31" s="3" t="s">
        <v>34</v>
      </c>
      <c r="B31" s="6">
        <v>2.5766033642236696E-4</v>
      </c>
      <c r="C31" s="8" t="s">
        <v>51</v>
      </c>
      <c r="D31" s="33" t="s">
        <v>336</v>
      </c>
      <c r="E31" s="25">
        <v>1915.55</v>
      </c>
      <c r="F31" s="25">
        <v>2088.33</v>
      </c>
      <c r="G31" s="28">
        <v>2088.33</v>
      </c>
      <c r="H31" s="28">
        <v>4327.42</v>
      </c>
      <c r="I31" s="28">
        <v>1904.7</v>
      </c>
      <c r="J31" s="7">
        <f>$B31*'Distributor Payments'!H$21</f>
        <v>4327.4150847304199</v>
      </c>
      <c r="K31" s="7">
        <f>$B31*'Distributor Payments'!I$21</f>
        <v>4327.4150846889152</v>
      </c>
      <c r="L31" s="7">
        <f>$B31*'Distributor Payments'!J$21</f>
        <v>1648.745147185266</v>
      </c>
      <c r="M31" s="7">
        <f>$B31*'Distributor Payments'!K$21</f>
        <v>5089.561515645044</v>
      </c>
      <c r="N31" s="7">
        <f>$B31*'Distributor Payments'!L$21</f>
        <v>5089.561515645044</v>
      </c>
      <c r="O31" s="7">
        <f>$B31*'Distributor Payments'!M$21</f>
        <v>5089.561515645044</v>
      </c>
      <c r="P31" s="7">
        <f>$B31*'Distributor Payments'!N$21</f>
        <v>4278.2900995345581</v>
      </c>
      <c r="Q31" s="7">
        <f>$B31*'Distributor Payments'!O$21</f>
        <v>4278.2900995345581</v>
      </c>
      <c r="R31" s="7">
        <f>$B31*'Distributor Payments'!P$21</f>
        <v>4278.2900995345581</v>
      </c>
      <c r="S31" s="7">
        <f>$B31*'Distributor Payments'!Q$21</f>
        <v>4278.2900995345581</v>
      </c>
      <c r="T31" s="7">
        <f>$B31*'Distributor Payments'!R$21</f>
        <v>4278.2900995345581</v>
      </c>
      <c r="U31" s="7">
        <f>$B31*'Distributor Payments'!S$21</f>
        <v>4278.2900995345581</v>
      </c>
      <c r="V31" s="7">
        <f>$B31*'Distributor Payments'!T$21</f>
        <v>4278.2900995345581</v>
      </c>
      <c r="W31" s="7">
        <f>$B31*'Distributor Payments'!U$21</f>
        <v>4278.2900995345581</v>
      </c>
      <c r="X31" s="7">
        <f>B31*'Distributor Payments'!$V$21</f>
        <v>1047.2187118738302</v>
      </c>
      <c r="Y31" s="7">
        <v>0</v>
      </c>
      <c r="Z31" s="7">
        <f t="shared" si="0"/>
        <v>73170.129371690025</v>
      </c>
    </row>
    <row r="32" spans="1:26" customFormat="1" x14ac:dyDescent="0.35">
      <c r="A32" s="3" t="s">
        <v>52</v>
      </c>
      <c r="B32" s="6">
        <v>1.3726383424055298E-4</v>
      </c>
      <c r="C32" s="8" t="s">
        <v>53</v>
      </c>
      <c r="D32" s="33" t="s">
        <v>336</v>
      </c>
      <c r="E32" s="25">
        <v>1020.48</v>
      </c>
      <c r="F32" s="25">
        <v>1112.52</v>
      </c>
      <c r="G32" s="28">
        <v>1112.52</v>
      </c>
      <c r="H32" s="28">
        <v>2305.35</v>
      </c>
      <c r="I32" s="28">
        <v>1014.69</v>
      </c>
      <c r="J32" s="7">
        <f>$B32*'Distributor Payments'!H$21</f>
        <v>2305.3512819559496</v>
      </c>
      <c r="K32" s="7">
        <f>$B32*'Distributor Payments'!I$21</f>
        <v>2305.3512819338384</v>
      </c>
      <c r="L32" s="7">
        <f>$B32*'Distributor Payments'!J$21</f>
        <v>878.33883837352903</v>
      </c>
      <c r="M32" s="7">
        <f>$B32*'Distributor Payments'!K$21</f>
        <v>2711.3708611146321</v>
      </c>
      <c r="N32" s="7">
        <f>$B32*'Distributor Payments'!L$21</f>
        <v>2711.3708611146321</v>
      </c>
      <c r="O32" s="7">
        <f>$B32*'Distributor Payments'!M$21</f>
        <v>2711.3708611146321</v>
      </c>
      <c r="P32" s="7">
        <f>$B32*'Distributor Payments'!N$21</f>
        <v>2279.1808440894833</v>
      </c>
      <c r="Q32" s="7">
        <f>$B32*'Distributor Payments'!O$21</f>
        <v>2279.1808440894833</v>
      </c>
      <c r="R32" s="7">
        <f>$B32*'Distributor Payments'!P$21</f>
        <v>2279.1808440894833</v>
      </c>
      <c r="S32" s="7">
        <f>$B32*'Distributor Payments'!Q$21</f>
        <v>2279.1808440894833</v>
      </c>
      <c r="T32" s="7">
        <f>$B32*'Distributor Payments'!R$21</f>
        <v>2279.1808440894833</v>
      </c>
      <c r="U32" s="7">
        <f>$B32*'Distributor Payments'!S$21</f>
        <v>2279.1808440894833</v>
      </c>
      <c r="V32" s="7">
        <f>$B32*'Distributor Payments'!T$21</f>
        <v>2279.1808440894833</v>
      </c>
      <c r="W32" s="7">
        <f>$B32*'Distributor Payments'!U$21</f>
        <v>2279.1808440894833</v>
      </c>
      <c r="X32" s="7">
        <f>B32*'Distributor Payments'!$V$21</f>
        <v>557.88662576541071</v>
      </c>
      <c r="Y32" s="7">
        <v>0</v>
      </c>
      <c r="Z32" s="7">
        <f t="shared" si="0"/>
        <v>38980.047364088481</v>
      </c>
    </row>
    <row r="33" spans="1:26" customFormat="1" x14ac:dyDescent="0.35">
      <c r="A33" s="3" t="s">
        <v>34</v>
      </c>
      <c r="B33" s="6">
        <v>5.7745005969259827E-4</v>
      </c>
      <c r="C33" s="8" t="s">
        <v>54</v>
      </c>
      <c r="D33" s="33" t="s">
        <v>336</v>
      </c>
      <c r="E33" s="25">
        <v>4293</v>
      </c>
      <c r="F33" s="25">
        <v>4680.21</v>
      </c>
      <c r="G33" s="28">
        <v>4680.21</v>
      </c>
      <c r="H33" s="28">
        <v>9698.2999999999993</v>
      </c>
      <c r="I33" s="28">
        <v>4268.68</v>
      </c>
      <c r="J33" s="7">
        <f>$B33*'Distributor Payments'!H$21</f>
        <v>9698.2955688453021</v>
      </c>
      <c r="K33" s="7">
        <f>$B33*'Distributor Payments'!I$21</f>
        <v>9698.2955687522845</v>
      </c>
      <c r="L33" s="7">
        <f>$B33*'Distributor Payments'!J$21</f>
        <v>3695.0506115126168</v>
      </c>
      <c r="M33" s="7">
        <f>$B33*'Distributor Payments'!K$21</f>
        <v>11406.364059855568</v>
      </c>
      <c r="N33" s="7">
        <f>$B33*'Distributor Payments'!L$21</f>
        <v>11406.364059855568</v>
      </c>
      <c r="O33" s="7">
        <f>$B33*'Distributor Payments'!M$21</f>
        <v>11406.364059855568</v>
      </c>
      <c r="P33" s="7">
        <f>$B33*'Distributor Payments'!N$21</f>
        <v>9588.2001384518262</v>
      </c>
      <c r="Q33" s="7">
        <f>$B33*'Distributor Payments'!O$21</f>
        <v>9588.2001384518262</v>
      </c>
      <c r="R33" s="7">
        <f>$B33*'Distributor Payments'!P$21</f>
        <v>9588.2001384518262</v>
      </c>
      <c r="S33" s="7">
        <f>$B33*'Distributor Payments'!Q$21</f>
        <v>9588.2001384518262</v>
      </c>
      <c r="T33" s="7">
        <f>$B33*'Distributor Payments'!R$21</f>
        <v>9588.2001384518262</v>
      </c>
      <c r="U33" s="7">
        <f>$B33*'Distributor Payments'!S$21</f>
        <v>9588.2001384518262</v>
      </c>
      <c r="V33" s="7">
        <f>$B33*'Distributor Payments'!T$21</f>
        <v>9588.2001384518262</v>
      </c>
      <c r="W33" s="7">
        <f>$B33*'Distributor Payments'!U$21</f>
        <v>9588.2001384518262</v>
      </c>
      <c r="X33" s="7">
        <f>B33*'Distributor Payments'!$V$21</f>
        <v>2346.952255357899</v>
      </c>
      <c r="Y33" s="7">
        <v>0</v>
      </c>
      <c r="Z33" s="7">
        <f t="shared" si="0"/>
        <v>163983.6872916494</v>
      </c>
    </row>
    <row r="34" spans="1:26" customFormat="1" x14ac:dyDescent="0.35">
      <c r="A34" s="3" t="s">
        <v>55</v>
      </c>
      <c r="B34" s="6">
        <v>0</v>
      </c>
      <c r="C34" s="8" t="s">
        <v>56</v>
      </c>
      <c r="D34" s="8" t="s">
        <v>337</v>
      </c>
      <c r="E34" s="25">
        <v>0</v>
      </c>
      <c r="F34" s="25">
        <v>0</v>
      </c>
      <c r="G34" s="25">
        <v>0</v>
      </c>
      <c r="H34" s="28">
        <v>0</v>
      </c>
      <c r="I34" s="30">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7">
        <f t="shared" si="0"/>
        <v>0</v>
      </c>
    </row>
    <row r="35" spans="1:26" customFormat="1" x14ac:dyDescent="0.35">
      <c r="A35" s="3" t="s">
        <v>34</v>
      </c>
      <c r="B35" s="6">
        <v>1.341703863361423E-3</v>
      </c>
      <c r="C35" s="8" t="s">
        <v>57</v>
      </c>
      <c r="D35" s="33" t="s">
        <v>336</v>
      </c>
      <c r="E35" s="25">
        <v>9974.77</v>
      </c>
      <c r="F35" s="29">
        <v>10874.45</v>
      </c>
      <c r="G35" s="28">
        <v>10874.45</v>
      </c>
      <c r="H35" s="28">
        <v>22533.97</v>
      </c>
      <c r="I35" s="28">
        <v>9918.27</v>
      </c>
      <c r="J35" s="7">
        <f>$B35*'Distributor Payments'!H$21</f>
        <v>22533.967075295986</v>
      </c>
      <c r="K35" s="7">
        <f>$B35*'Distributor Payments'!I$21</f>
        <v>22533.967075079858</v>
      </c>
      <c r="L35" s="7">
        <f>$B35*'Distributor Payments'!J$21</f>
        <v>8585.4414551825412</v>
      </c>
      <c r="M35" s="7">
        <f>$B35*'Distributor Payments'!K$21</f>
        <v>26502.660219936712</v>
      </c>
      <c r="N35" s="7">
        <f>$B35*'Distributor Payments'!L$21</f>
        <v>26502.660219936712</v>
      </c>
      <c r="O35" s="7">
        <f>$B35*'Distributor Payments'!M$21</f>
        <v>26502.660219936712</v>
      </c>
      <c r="P35" s="7">
        <f>$B35*'Distributor Payments'!N$21</f>
        <v>22278.160600228686</v>
      </c>
      <c r="Q35" s="7">
        <f>$B35*'Distributor Payments'!O$21</f>
        <v>22278.160600228686</v>
      </c>
      <c r="R35" s="7">
        <f>$B35*'Distributor Payments'!P$21</f>
        <v>22278.160600228686</v>
      </c>
      <c r="S35" s="7">
        <f>$B35*'Distributor Payments'!Q$21</f>
        <v>22278.160600228686</v>
      </c>
      <c r="T35" s="7">
        <f>$B35*'Distributor Payments'!R$21</f>
        <v>22278.160600228686</v>
      </c>
      <c r="U35" s="7">
        <f>$B35*'Distributor Payments'!S$21</f>
        <v>22278.160600228686</v>
      </c>
      <c r="V35" s="7">
        <f>$B35*'Distributor Payments'!T$21</f>
        <v>22278.160600228686</v>
      </c>
      <c r="W35" s="7">
        <f>$B35*'Distributor Payments'!U$21</f>
        <v>22278.160600228686</v>
      </c>
      <c r="X35" s="7">
        <f>B35*'Distributor Payments'!$V$21</f>
        <v>5453.1380771088716</v>
      </c>
      <c r="Y35" s="7">
        <v>0</v>
      </c>
      <c r="Z35" s="7">
        <f t="shared" si="0"/>
        <v>381015.68914430699</v>
      </c>
    </row>
    <row r="36" spans="1:26" customFormat="1" x14ac:dyDescent="0.35">
      <c r="A36" s="3" t="s">
        <v>58</v>
      </c>
      <c r="B36" s="6">
        <v>3.8230209662400007E-3</v>
      </c>
      <c r="C36" s="8" t="s">
        <v>58</v>
      </c>
      <c r="D36" s="33" t="s">
        <v>336</v>
      </c>
      <c r="E36" s="25">
        <v>27573.77</v>
      </c>
      <c r="F36" s="25">
        <v>30060.79</v>
      </c>
      <c r="G36" s="28">
        <v>30060.79</v>
      </c>
      <c r="H36" s="28">
        <v>64207.78</v>
      </c>
      <c r="I36" s="28">
        <v>28260.9</v>
      </c>
      <c r="J36" s="7">
        <f>$B36*'Distributor Payments'!H$21</f>
        <v>64207.781563354016</v>
      </c>
      <c r="K36" s="7">
        <f>$B36*'Distributor Payments'!I$21</f>
        <v>64207.781562738179</v>
      </c>
      <c r="L36" s="7">
        <f>$B36*'Distributor Payments'!J$21</f>
        <v>24463.164774198289</v>
      </c>
      <c r="M36" s="7">
        <f>$B36*'Distributor Payments'!K$21</f>
        <v>75516.087006048678</v>
      </c>
      <c r="N36" s="7">
        <f>$B36*'Distributor Payments'!L$21</f>
        <v>75516.087006048678</v>
      </c>
      <c r="O36" s="7">
        <f>$B36*'Distributor Payments'!M$21</f>
        <v>75516.087006048678</v>
      </c>
      <c r="P36" s="7">
        <f>$B36*'Distributor Payments'!N$21</f>
        <v>63478.89231723368</v>
      </c>
      <c r="Q36" s="7">
        <f>$B36*'Distributor Payments'!O$21</f>
        <v>63478.89231723368</v>
      </c>
      <c r="R36" s="7">
        <f>$B36*'Distributor Payments'!P$21</f>
        <v>63478.89231723368</v>
      </c>
      <c r="S36" s="7">
        <f>$B36*'Distributor Payments'!Q$21</f>
        <v>63478.89231723368</v>
      </c>
      <c r="T36" s="7">
        <f>$B36*'Distributor Payments'!R$21</f>
        <v>63478.89231723368</v>
      </c>
      <c r="U36" s="7">
        <f>$B36*'Distributor Payments'!S$21</f>
        <v>63478.89231723368</v>
      </c>
      <c r="V36" s="7">
        <f>$B36*'Distributor Payments'!T$21</f>
        <v>63478.89231723368</v>
      </c>
      <c r="W36" s="7">
        <f>$B36*'Distributor Payments'!U$21</f>
        <v>63478.89231723368</v>
      </c>
      <c r="X36" s="7">
        <f>B36*'Distributor Payments'!$V$21</f>
        <v>15538.04961726721</v>
      </c>
      <c r="Y36" s="7">
        <v>0</v>
      </c>
      <c r="Z36" s="7">
        <f t="shared" si="0"/>
        <v>1082960.2070735735</v>
      </c>
    </row>
    <row r="37" spans="1:26" customFormat="1" x14ac:dyDescent="0.35">
      <c r="A37" s="3" t="s">
        <v>34</v>
      </c>
      <c r="B37" s="6">
        <v>1.6716753278031742E-4</v>
      </c>
      <c r="C37" s="8" t="s">
        <v>59</v>
      </c>
      <c r="D37" s="33" t="s">
        <v>336</v>
      </c>
      <c r="E37" s="25">
        <v>1242.79</v>
      </c>
      <c r="F37" s="29">
        <v>1354.89</v>
      </c>
      <c r="G37" s="28">
        <v>1354.89</v>
      </c>
      <c r="H37" s="28">
        <v>2807.59</v>
      </c>
      <c r="I37" s="28">
        <v>1235.75</v>
      </c>
      <c r="J37" s="7">
        <f>$B37*'Distributor Payments'!H$21</f>
        <v>2807.5850287057046</v>
      </c>
      <c r="K37" s="7">
        <f>$B37*'Distributor Payments'!I$21</f>
        <v>2807.5850286787763</v>
      </c>
      <c r="L37" s="7">
        <f>$B37*'Distributor Payments'!J$21</f>
        <v>1069.689895873925</v>
      </c>
      <c r="M37" s="7">
        <f>$B37*'Distributor Payments'!K$21</f>
        <v>3302.05825746247</v>
      </c>
      <c r="N37" s="7">
        <f>$B37*'Distributor Payments'!L$21</f>
        <v>3302.05825746247</v>
      </c>
      <c r="O37" s="7">
        <f>$B37*'Distributor Payments'!M$21</f>
        <v>3302.05825746247</v>
      </c>
      <c r="P37" s="7">
        <f>$B37*'Distributor Payments'!N$21</f>
        <v>2775.7132137143576</v>
      </c>
      <c r="Q37" s="7">
        <f>$B37*'Distributor Payments'!O$21</f>
        <v>2775.7132137143576</v>
      </c>
      <c r="R37" s="7">
        <f>$B37*'Distributor Payments'!P$21</f>
        <v>2775.7132137143576</v>
      </c>
      <c r="S37" s="7">
        <f>$B37*'Distributor Payments'!Q$21</f>
        <v>2775.7132137143576</v>
      </c>
      <c r="T37" s="7">
        <f>$B37*'Distributor Payments'!R$21</f>
        <v>2775.7132137143576</v>
      </c>
      <c r="U37" s="7">
        <f>$B37*'Distributor Payments'!S$21</f>
        <v>2775.7132137143576</v>
      </c>
      <c r="V37" s="7">
        <f>$B37*'Distributor Payments'!T$21</f>
        <v>2775.7132137143576</v>
      </c>
      <c r="W37" s="7">
        <f>$B37*'Distributor Payments'!U$21</f>
        <v>2775.7132137143576</v>
      </c>
      <c r="X37" s="7">
        <f>B37*'Distributor Payments'!$V$21</f>
        <v>679.42536587534175</v>
      </c>
      <c r="Y37" s="7">
        <v>0</v>
      </c>
      <c r="Z37" s="7">
        <f t="shared" si="0"/>
        <v>47472.075801236017</v>
      </c>
    </row>
    <row r="38" spans="1:26" customFormat="1" x14ac:dyDescent="0.35">
      <c r="A38" s="3" t="s">
        <v>60</v>
      </c>
      <c r="B38" s="6">
        <v>5.6701068570441956E-6</v>
      </c>
      <c r="C38" s="8" t="s">
        <v>61</v>
      </c>
      <c r="D38" s="33" t="s">
        <v>338</v>
      </c>
      <c r="E38" s="25">
        <v>1519.52</v>
      </c>
      <c r="F38" s="48">
        <v>45.96</v>
      </c>
      <c r="G38" s="49">
        <v>45.96</v>
      </c>
      <c r="H38" s="28">
        <v>0</v>
      </c>
      <c r="I38" s="28">
        <v>0</v>
      </c>
      <c r="J38" s="49">
        <f>$B$38*'Distributor Payments'!H$21</f>
        <v>95.229658883098651</v>
      </c>
      <c r="K38" s="49">
        <f>$B$38*'Distributor Payments'!I$21</f>
        <v>95.229658882185277</v>
      </c>
      <c r="L38" s="49">
        <f>$B$38*'Distributor Payments'!J$21</f>
        <v>36.282500032325459</v>
      </c>
      <c r="M38" s="49">
        <f>$B$38*'Distributor Payments'!K$21</f>
        <v>112.00155231460016</v>
      </c>
      <c r="N38" s="49">
        <f>$B$38*'Distributor Payments'!L$21</f>
        <v>112.00155231460016</v>
      </c>
      <c r="O38" s="49">
        <f>$B$38*'Distributor Payments'!M$21</f>
        <v>112.00155231460016</v>
      </c>
      <c r="P38" s="49">
        <f>$B$38*'Distributor Payments'!N$21</f>
        <v>94.148608073032747</v>
      </c>
      <c r="Q38" s="49">
        <f>$B$38*'Distributor Payments'!O$21</f>
        <v>94.148608073032747</v>
      </c>
      <c r="R38" s="49">
        <f>$B$38*'Distributor Payments'!P$21</f>
        <v>94.148608073032747</v>
      </c>
      <c r="S38" s="49">
        <f>$B$38*'Distributor Payments'!Q$21</f>
        <v>94.148608073032747</v>
      </c>
      <c r="T38" s="49">
        <f>$B$38*'Distributor Payments'!R$21</f>
        <v>94.148608073032747</v>
      </c>
      <c r="U38" s="49">
        <f>$B$38*'Distributor Payments'!S$21</f>
        <v>94.148608073032747</v>
      </c>
      <c r="V38" s="49">
        <f>$B$38*'Distributor Payments'!T$21</f>
        <v>94.148608073032747</v>
      </c>
      <c r="W38" s="49">
        <f>$B$38*'Distributor Payments'!U$21</f>
        <v>94.148608073032747</v>
      </c>
      <c r="X38" s="49">
        <f>$B$38*'Distributor Payments'!V$21</f>
        <v>23.045231103351703</v>
      </c>
      <c r="Y38" s="7">
        <v>0</v>
      </c>
      <c r="Z38" s="7">
        <f>E38</f>
        <v>1519.52</v>
      </c>
    </row>
    <row r="39" spans="1:26" customFormat="1" x14ac:dyDescent="0.35">
      <c r="A39" s="3" t="s">
        <v>22</v>
      </c>
      <c r="B39" s="6">
        <v>5.7982115825048618E-4</v>
      </c>
      <c r="C39" s="8" t="s">
        <v>62</v>
      </c>
      <c r="D39" s="33" t="s">
        <v>336</v>
      </c>
      <c r="E39" s="25">
        <v>4310.63</v>
      </c>
      <c r="F39" s="29">
        <v>4699.42</v>
      </c>
      <c r="G39" s="28">
        <v>4699.42</v>
      </c>
      <c r="H39" s="28">
        <v>9738.1200000000008</v>
      </c>
      <c r="I39" s="28">
        <v>4286.21</v>
      </c>
      <c r="J39" s="7">
        <f>$B39*'Distributor Payments'!H$21</f>
        <v>9738.1182587061394</v>
      </c>
      <c r="K39" s="7">
        <f>$B39*'Distributor Payments'!I$21</f>
        <v>9738.1182586127379</v>
      </c>
      <c r="L39" s="7">
        <f>$B39*'Distributor Payments'!J$21</f>
        <v>3710.2230563487024</v>
      </c>
      <c r="M39" s="7">
        <f>$B39*'Distributor Payments'!K$21</f>
        <v>11453.20034105271</v>
      </c>
      <c r="N39" s="7">
        <f>$B39*'Distributor Payments'!L$21</f>
        <v>11453.20034105271</v>
      </c>
      <c r="O39" s="7">
        <f>$B39*'Distributor Payments'!M$21</f>
        <v>11453.20034105271</v>
      </c>
      <c r="P39" s="7">
        <f>$B39*'Distributor Payments'!N$21</f>
        <v>9627.5707595807362</v>
      </c>
      <c r="Q39" s="7">
        <f>$B39*'Distributor Payments'!O$21</f>
        <v>9627.5707595807362</v>
      </c>
      <c r="R39" s="7">
        <f>$B39*'Distributor Payments'!P$21</f>
        <v>9627.5707595807362</v>
      </c>
      <c r="S39" s="7">
        <f>$B39*'Distributor Payments'!Q$21</f>
        <v>9627.5707595807362</v>
      </c>
      <c r="T39" s="7">
        <f>$B39*'Distributor Payments'!R$21</f>
        <v>9627.5707595807362</v>
      </c>
      <c r="U39" s="7">
        <f>$B39*'Distributor Payments'!S$21</f>
        <v>9627.5707595807362</v>
      </c>
      <c r="V39" s="7">
        <f>$B39*'Distributor Payments'!T$21</f>
        <v>9627.5707595807362</v>
      </c>
      <c r="W39" s="7">
        <f>$B39*'Distributor Payments'!U$21</f>
        <v>9627.5707595807362</v>
      </c>
      <c r="X39" s="7">
        <f>B39*'Distributor Payments'!$V$21</f>
        <v>2356.5892014707342</v>
      </c>
      <c r="Y39" s="7">
        <v>0</v>
      </c>
      <c r="Z39" s="7">
        <f t="shared" si="0"/>
        <v>164657.0158749423</v>
      </c>
    </row>
    <row r="40" spans="1:26" customFormat="1" x14ac:dyDescent="0.35">
      <c r="A40" s="3" t="s">
        <v>63</v>
      </c>
      <c r="B40" s="6">
        <v>1.8585675774892199E-4</v>
      </c>
      <c r="C40" s="8" t="s">
        <v>64</v>
      </c>
      <c r="D40" s="33" t="s">
        <v>336</v>
      </c>
      <c r="E40" s="25">
        <v>1381.73</v>
      </c>
      <c r="F40" s="25">
        <v>1506.36</v>
      </c>
      <c r="G40" s="28">
        <v>1506.36</v>
      </c>
      <c r="H40" s="28">
        <v>3121.47</v>
      </c>
      <c r="I40" s="28">
        <v>1373.91</v>
      </c>
      <c r="J40" s="7">
        <f>$B40*'Distributor Payments'!H$21</f>
        <v>3121.4712681402625</v>
      </c>
      <c r="K40" s="7">
        <f>$B40*'Distributor Payments'!I$21</f>
        <v>3121.4712681103238</v>
      </c>
      <c r="L40" s="7">
        <f>$B40*'Distributor Payments'!J$21</f>
        <v>1189.2805530914541</v>
      </c>
      <c r="M40" s="7">
        <f>$B40*'Distributor Payments'!K$21</f>
        <v>3671.2262927068155</v>
      </c>
      <c r="N40" s="7">
        <f>$B40*'Distributor Payments'!L$21</f>
        <v>3671.2262927068155</v>
      </c>
      <c r="O40" s="7">
        <f>$B40*'Distributor Payments'!M$21</f>
        <v>3671.2262927068155</v>
      </c>
      <c r="P40" s="7">
        <f>$B40*'Distributor Payments'!N$21</f>
        <v>3086.0362042893789</v>
      </c>
      <c r="Q40" s="7">
        <f>$B40*'Distributor Payments'!O$21</f>
        <v>3086.0362042893789</v>
      </c>
      <c r="R40" s="7">
        <f>$B40*'Distributor Payments'!P$21</f>
        <v>3086.0362042893789</v>
      </c>
      <c r="S40" s="7">
        <f>$B40*'Distributor Payments'!Q$21</f>
        <v>3086.0362042893789</v>
      </c>
      <c r="T40" s="7">
        <f>$B40*'Distributor Payments'!R$21</f>
        <v>3086.0362042893789</v>
      </c>
      <c r="U40" s="7">
        <f>$B40*'Distributor Payments'!S$21</f>
        <v>3086.0362042893789</v>
      </c>
      <c r="V40" s="7">
        <f>$B40*'Distributor Payments'!T$21</f>
        <v>3086.0362042893789</v>
      </c>
      <c r="W40" s="7">
        <f>$B40*'Distributor Payments'!U$21</f>
        <v>3086.0362042893789</v>
      </c>
      <c r="X40" s="7">
        <f>B40*'Distributor Payments'!$V$21</f>
        <v>755.38469422714354</v>
      </c>
      <c r="Y40" s="7">
        <v>0</v>
      </c>
      <c r="Z40" s="7">
        <f t="shared" si="0"/>
        <v>52779.406296004636</v>
      </c>
    </row>
    <row r="41" spans="1:26" customFormat="1" x14ac:dyDescent="0.35">
      <c r="A41" s="3" t="s">
        <v>14</v>
      </c>
      <c r="B41" s="6">
        <v>8.0424445463974479E-5</v>
      </c>
      <c r="C41" s="8" t="s">
        <v>65</v>
      </c>
      <c r="D41" s="8" t="s">
        <v>337</v>
      </c>
      <c r="E41" s="25">
        <v>0</v>
      </c>
      <c r="F41" s="25">
        <v>0</v>
      </c>
      <c r="G41" s="25">
        <v>0</v>
      </c>
      <c r="H41" s="28">
        <v>0</v>
      </c>
      <c r="I41" s="30">
        <v>0</v>
      </c>
      <c r="J41" s="25">
        <v>0</v>
      </c>
      <c r="K41" s="25">
        <v>0</v>
      </c>
      <c r="L41" s="25">
        <v>0</v>
      </c>
      <c r="M41" s="25">
        <v>0</v>
      </c>
      <c r="N41" s="25">
        <v>0</v>
      </c>
      <c r="O41" s="25">
        <v>0</v>
      </c>
      <c r="P41" s="25">
        <v>0</v>
      </c>
      <c r="Q41" s="25">
        <v>0</v>
      </c>
      <c r="R41" s="25">
        <v>0</v>
      </c>
      <c r="S41" s="25">
        <v>0</v>
      </c>
      <c r="T41" s="25">
        <v>0</v>
      </c>
      <c r="U41" s="25">
        <v>0</v>
      </c>
      <c r="V41" s="25">
        <v>0</v>
      </c>
      <c r="W41" s="25">
        <v>0</v>
      </c>
      <c r="X41" s="25">
        <v>0</v>
      </c>
      <c r="Y41" s="7">
        <v>0</v>
      </c>
      <c r="Z41" s="7">
        <f t="shared" si="0"/>
        <v>0</v>
      </c>
    </row>
    <row r="42" spans="1:26" customFormat="1" x14ac:dyDescent="0.35">
      <c r="A42" s="3" t="s">
        <v>66</v>
      </c>
      <c r="B42" s="6">
        <v>5.5569091004235556E-4</v>
      </c>
      <c r="C42" s="8" t="s">
        <v>67</v>
      </c>
      <c r="D42" s="33" t="s">
        <v>336</v>
      </c>
      <c r="E42" s="25">
        <v>4131.2299999999996</v>
      </c>
      <c r="F42" s="25">
        <v>4503.8500000000004</v>
      </c>
      <c r="G42" s="28">
        <v>4503.8500000000004</v>
      </c>
      <c r="H42" s="28">
        <v>9332.85</v>
      </c>
      <c r="I42" s="28">
        <v>4107.83</v>
      </c>
      <c r="J42" s="7">
        <f>$B42*'Distributor Payments'!H$21</f>
        <v>9332.8498283995759</v>
      </c>
      <c r="K42" s="7">
        <f>$B42*'Distributor Payments'!I$21</f>
        <v>9332.8498283100616</v>
      </c>
      <c r="L42" s="7">
        <f>$B42*'Distributor Payments'!J$21</f>
        <v>3555.8157844109883</v>
      </c>
      <c r="M42" s="7">
        <f>$B42*'Distributor Payments'!K$21</f>
        <v>10976.555839425786</v>
      </c>
      <c r="N42" s="7">
        <f>$B42*'Distributor Payments'!L$21</f>
        <v>10976.555839425786</v>
      </c>
      <c r="O42" s="7">
        <f>$B42*'Distributor Payments'!M$21</f>
        <v>10976.555839425786</v>
      </c>
      <c r="P42" s="7">
        <f>$B42*'Distributor Payments'!N$21</f>
        <v>9226.9029523365207</v>
      </c>
      <c r="Q42" s="7">
        <f>$B42*'Distributor Payments'!O$21</f>
        <v>9226.9029523365207</v>
      </c>
      <c r="R42" s="7">
        <f>$B42*'Distributor Payments'!P$21</f>
        <v>9226.9029523365207</v>
      </c>
      <c r="S42" s="7">
        <f>$B42*'Distributor Payments'!Q$21</f>
        <v>9226.9029523365207</v>
      </c>
      <c r="T42" s="7">
        <f>$B42*'Distributor Payments'!R$21</f>
        <v>9226.9029523365207</v>
      </c>
      <c r="U42" s="7">
        <f>$B42*'Distributor Payments'!S$21</f>
        <v>9226.9029523365207</v>
      </c>
      <c r="V42" s="7">
        <f>$B42*'Distributor Payments'!T$21</f>
        <v>9226.9029523365207</v>
      </c>
      <c r="W42" s="7">
        <f>$B42*'Distributor Payments'!U$21</f>
        <v>9226.9029523365207</v>
      </c>
      <c r="X42" s="7">
        <f>B42*'Distributor Payments'!$V$21</f>
        <v>2258.5157152811821</v>
      </c>
      <c r="Y42" s="7">
        <v>0</v>
      </c>
      <c r="Z42" s="7">
        <f t="shared" si="0"/>
        <v>157804.53229337133</v>
      </c>
    </row>
    <row r="43" spans="1:26" customFormat="1" x14ac:dyDescent="0.35">
      <c r="A43" s="3" t="s">
        <v>14</v>
      </c>
      <c r="B43" s="6">
        <v>2.5848972949928222E-5</v>
      </c>
      <c r="C43" s="8" t="s">
        <v>68</v>
      </c>
      <c r="D43" s="33" t="s">
        <v>336</v>
      </c>
      <c r="E43" s="25">
        <v>192.17</v>
      </c>
      <c r="F43" s="29">
        <v>209.5</v>
      </c>
      <c r="G43" s="28">
        <v>209.5</v>
      </c>
      <c r="H43" s="28">
        <v>434.13</v>
      </c>
      <c r="I43" s="28">
        <v>191.08</v>
      </c>
      <c r="J43" s="7">
        <f>$B43*'Distributor Payments'!H$21</f>
        <v>434.13447727920345</v>
      </c>
      <c r="K43" s="7">
        <f>$B43*'Distributor Payments'!I$21</f>
        <v>434.13447727503956</v>
      </c>
      <c r="L43" s="7">
        <f>$B43*'Distributor Payments'!J$21</f>
        <v>165.40523583364285</v>
      </c>
      <c r="M43" s="7">
        <f>$B43*'Distributor Payments'!K$21</f>
        <v>510.59445070833948</v>
      </c>
      <c r="N43" s="7">
        <f>$B43*'Distributor Payments'!L$21</f>
        <v>510.59445070833948</v>
      </c>
      <c r="O43" s="7">
        <f>$B43*'Distributor Payments'!M$21</f>
        <v>510.59445070833948</v>
      </c>
      <c r="P43" s="7">
        <f>$B43*'Distributor Payments'!N$21</f>
        <v>429.20616572328004</v>
      </c>
      <c r="Q43" s="7">
        <f>$B43*'Distributor Payments'!O$21</f>
        <v>429.20616572328004</v>
      </c>
      <c r="R43" s="7">
        <f>$B43*'Distributor Payments'!P$21</f>
        <v>429.20616572328004</v>
      </c>
      <c r="S43" s="7">
        <f>$B43*'Distributor Payments'!Q$21</f>
        <v>429.20616572328004</v>
      </c>
      <c r="T43" s="7">
        <f>$B43*'Distributor Payments'!R$21</f>
        <v>429.20616572328004</v>
      </c>
      <c r="U43" s="7">
        <f>$B43*'Distributor Payments'!S$21</f>
        <v>429.20616572328004</v>
      </c>
      <c r="V43" s="7">
        <f>$B43*'Distributor Payments'!T$21</f>
        <v>429.20616572328004</v>
      </c>
      <c r="W43" s="7">
        <f>$B43*'Distributor Payments'!U$21</f>
        <v>429.20616572328004</v>
      </c>
      <c r="X43" s="7">
        <f>B43*'Distributor Payments'!$V$21</f>
        <v>105.05896457230375</v>
      </c>
      <c r="Y43" s="7">
        <v>0</v>
      </c>
      <c r="Z43" s="7">
        <f t="shared" si="0"/>
        <v>7340.5458328714467</v>
      </c>
    </row>
    <row r="44" spans="1:26" customFormat="1" x14ac:dyDescent="0.35">
      <c r="A44" s="3" t="s">
        <v>42</v>
      </c>
      <c r="B44" s="6">
        <v>1.784456672652E-2</v>
      </c>
      <c r="C44" s="8" t="s">
        <v>42</v>
      </c>
      <c r="D44" s="33" t="s">
        <v>336</v>
      </c>
      <c r="E44" s="25">
        <v>128705.03</v>
      </c>
      <c r="F44" s="25">
        <v>140313.60999999999</v>
      </c>
      <c r="G44" s="28">
        <v>140313.60999999999</v>
      </c>
      <c r="H44" s="28">
        <v>299700.17</v>
      </c>
      <c r="I44" s="28">
        <v>131912.29999999999</v>
      </c>
      <c r="J44" s="7">
        <f>$B44*'Distributor Payments'!H$21</f>
        <v>299700.17234720103</v>
      </c>
      <c r="K44" s="7">
        <f>$B44*'Distributor Payments'!I$21</f>
        <v>299700.17234432657</v>
      </c>
      <c r="L44" s="7">
        <f>$B44*'Distributor Payments'!J$21</f>
        <v>114185.76565756409</v>
      </c>
      <c r="M44" s="7">
        <f>$B44*'Distributor Payments'!K$21</f>
        <v>352483.51118264027</v>
      </c>
      <c r="N44" s="7">
        <f>$B44*'Distributor Payments'!L$21</f>
        <v>352483.51118264027</v>
      </c>
      <c r="O44" s="7">
        <f>$B44*'Distributor Payments'!M$21</f>
        <v>352483.51118264027</v>
      </c>
      <c r="P44" s="7">
        <f>$B44*'Distributor Payments'!N$21</f>
        <v>296297.96427575819</v>
      </c>
      <c r="Q44" s="7">
        <f>$B44*'Distributor Payments'!O$21</f>
        <v>296297.96427575819</v>
      </c>
      <c r="R44" s="7">
        <f>$B44*'Distributor Payments'!P$21</f>
        <v>296297.96427575819</v>
      </c>
      <c r="S44" s="7">
        <f>$B44*'Distributor Payments'!Q$21</f>
        <v>296297.96427575819</v>
      </c>
      <c r="T44" s="7">
        <f>$B44*'Distributor Payments'!R$21</f>
        <v>296297.96427575819</v>
      </c>
      <c r="U44" s="7">
        <f>$B44*'Distributor Payments'!S$21</f>
        <v>296297.96427575819</v>
      </c>
      <c r="V44" s="7">
        <f>$B44*'Distributor Payments'!T$21</f>
        <v>296297.96427575819</v>
      </c>
      <c r="W44" s="7">
        <f>$B44*'Distributor Payments'!U$21</f>
        <v>296297.96427575819</v>
      </c>
      <c r="X44" s="7">
        <f>B44*'Distributor Payments'!$V$21</f>
        <v>72526.35171080484</v>
      </c>
      <c r="Y44" s="7">
        <v>0</v>
      </c>
      <c r="Z44" s="7">
        <f t="shared" si="0"/>
        <v>5054891.4298138823</v>
      </c>
    </row>
    <row r="45" spans="1:26" customFormat="1" x14ac:dyDescent="0.35">
      <c r="A45" s="3" t="s">
        <v>14</v>
      </c>
      <c r="B45" s="6">
        <v>3.1018767315879977E-5</v>
      </c>
      <c r="C45" s="8" t="s">
        <v>69</v>
      </c>
      <c r="D45" s="33" t="s">
        <v>336</v>
      </c>
      <c r="E45" s="25">
        <v>230.61</v>
      </c>
      <c r="F45" s="25">
        <v>251.41</v>
      </c>
      <c r="G45" s="28">
        <v>251.41</v>
      </c>
      <c r="H45" s="28">
        <v>520.96</v>
      </c>
      <c r="I45" s="28">
        <v>229.3</v>
      </c>
      <c r="J45" s="7">
        <f>$B45*'Distributor Payments'!H$21</f>
        <v>520.96136897238648</v>
      </c>
      <c r="K45" s="7">
        <f>$B45*'Distributor Payments'!I$21</f>
        <v>520.96136896738983</v>
      </c>
      <c r="L45" s="7">
        <f>$B45*'Distributor Payments'!J$21</f>
        <v>198.48628156679888</v>
      </c>
      <c r="M45" s="7">
        <f>$B45*'Distributor Payments'!K$21</f>
        <v>612.71333642466868</v>
      </c>
      <c r="N45" s="7">
        <f>$B45*'Distributor Payments'!L$21</f>
        <v>612.71333642466868</v>
      </c>
      <c r="O45" s="7">
        <f>$B45*'Distributor Payments'!M$21</f>
        <v>612.71333642466868</v>
      </c>
      <c r="P45" s="7">
        <f>$B45*'Distributor Payments'!N$21</f>
        <v>515.04739514799223</v>
      </c>
      <c r="Q45" s="7">
        <f>$B45*'Distributor Payments'!O$21</f>
        <v>515.04739514799223</v>
      </c>
      <c r="R45" s="7">
        <f>$B45*'Distributor Payments'!P$21</f>
        <v>515.04739514799223</v>
      </c>
      <c r="S45" s="7">
        <f>$B45*'Distributor Payments'!Q$21</f>
        <v>515.04739514799223</v>
      </c>
      <c r="T45" s="7">
        <f>$B45*'Distributor Payments'!R$21</f>
        <v>515.04739514799223</v>
      </c>
      <c r="U45" s="7">
        <f>$B45*'Distributor Payments'!S$21</f>
        <v>515.04739514799223</v>
      </c>
      <c r="V45" s="7">
        <f>$B45*'Distributor Payments'!T$21</f>
        <v>515.04739514799223</v>
      </c>
      <c r="W45" s="7">
        <f>$B45*'Distributor Payments'!U$21</f>
        <v>515.04739514799223</v>
      </c>
      <c r="X45" s="7">
        <f>B45*'Distributor Payments'!$V$21</f>
        <v>126.07075657621503</v>
      </c>
      <c r="Y45" s="7">
        <v>0</v>
      </c>
      <c r="Z45" s="7">
        <f t="shared" si="0"/>
        <v>8808.6889465407367</v>
      </c>
    </row>
    <row r="46" spans="1:26" customFormat="1" x14ac:dyDescent="0.35">
      <c r="A46" s="3" t="s">
        <v>22</v>
      </c>
      <c r="B46" s="6">
        <v>2.6353816720000004E-3</v>
      </c>
      <c r="C46" s="8" t="s">
        <v>70</v>
      </c>
      <c r="D46" s="33" t="s">
        <v>336</v>
      </c>
      <c r="E46" s="25">
        <v>19007.849999999999</v>
      </c>
      <c r="F46" s="29">
        <v>20722.27</v>
      </c>
      <c r="G46" s="28">
        <v>20722.27</v>
      </c>
      <c r="H46" s="28">
        <v>44261.33</v>
      </c>
      <c r="I46" s="28">
        <v>19481.52</v>
      </c>
      <c r="J46" s="7">
        <f>$B46*'Distributor Payments'!H$21</f>
        <v>44261.334747077068</v>
      </c>
      <c r="K46" s="7">
        <f>$B46*'Distributor Payments'!I$21</f>
        <v>44261.334746652552</v>
      </c>
      <c r="L46" s="7">
        <f>$B46*'Distributor Payments'!J$21</f>
        <v>16863.568537643991</v>
      </c>
      <c r="M46" s="7">
        <f>$B46*'Distributor Payments'!K$21</f>
        <v>52056.662360560134</v>
      </c>
      <c r="N46" s="7">
        <f>$B46*'Distributor Payments'!L$21</f>
        <v>52056.662360560134</v>
      </c>
      <c r="O46" s="7">
        <f>$B46*'Distributor Payments'!M$21</f>
        <v>52056.662360560134</v>
      </c>
      <c r="P46" s="7">
        <f>$B46*'Distributor Payments'!N$21</f>
        <v>43758.878344900273</v>
      </c>
      <c r="Q46" s="7">
        <f>$B46*'Distributor Payments'!O$21</f>
        <v>43758.878344900273</v>
      </c>
      <c r="R46" s="7">
        <f>$B46*'Distributor Payments'!P$21</f>
        <v>43758.878344900273</v>
      </c>
      <c r="S46" s="7">
        <f>$B46*'Distributor Payments'!Q$21</f>
        <v>43758.878344900273</v>
      </c>
      <c r="T46" s="7">
        <f>$B46*'Distributor Payments'!R$21</f>
        <v>43758.878344900273</v>
      </c>
      <c r="U46" s="7">
        <f>$B46*'Distributor Payments'!S$21</f>
        <v>43758.878344900273</v>
      </c>
      <c r="V46" s="7">
        <f>$B46*'Distributor Payments'!T$21</f>
        <v>43758.878344900273</v>
      </c>
      <c r="W46" s="7">
        <f>$B46*'Distributor Payments'!U$21</f>
        <v>43758.878344900273</v>
      </c>
      <c r="X46" s="7">
        <f>B46*'Distributor Payments'!$V$21</f>
        <v>10711.082032136039</v>
      </c>
      <c r="Y46" s="7">
        <v>0</v>
      </c>
      <c r="Z46" s="7">
        <f t="shared" si="0"/>
        <v>746533.57390439243</v>
      </c>
    </row>
    <row r="47" spans="1:26" customFormat="1" x14ac:dyDescent="0.35">
      <c r="A47" s="3" t="s">
        <v>14</v>
      </c>
      <c r="B47" s="6">
        <v>1.1358916567598824E-4</v>
      </c>
      <c r="C47" s="8" t="s">
        <v>71</v>
      </c>
      <c r="D47" s="33" t="s">
        <v>336</v>
      </c>
      <c r="E47" s="25">
        <v>844.47</v>
      </c>
      <c r="F47" s="29">
        <v>920.64</v>
      </c>
      <c r="G47" s="28">
        <v>920.64</v>
      </c>
      <c r="H47" s="28">
        <v>1907.73</v>
      </c>
      <c r="I47" s="28">
        <v>839.68</v>
      </c>
      <c r="J47" s="7">
        <f>$B47*'Distributor Payments'!H$21</f>
        <v>1907.7343289750677</v>
      </c>
      <c r="K47" s="7">
        <f>$B47*'Distributor Payments'!I$21</f>
        <v>1907.73432895677</v>
      </c>
      <c r="L47" s="7">
        <f>$B47*'Distributor Payments'!J$21</f>
        <v>726.84677929672785</v>
      </c>
      <c r="M47" s="7">
        <f>$B47*'Distributor Payments'!K$21</f>
        <v>2243.7254186886694</v>
      </c>
      <c r="N47" s="7">
        <f>$B47*'Distributor Payments'!L$21</f>
        <v>2243.7254186886694</v>
      </c>
      <c r="O47" s="7">
        <f>$B47*'Distributor Payments'!M$21</f>
        <v>2243.7254186886694</v>
      </c>
      <c r="P47" s="7">
        <f>$B47*'Distributor Payments'!N$21</f>
        <v>1886.0776543012591</v>
      </c>
      <c r="Q47" s="7">
        <f>$B47*'Distributor Payments'!O$21</f>
        <v>1886.0776543012591</v>
      </c>
      <c r="R47" s="7">
        <f>$B47*'Distributor Payments'!P$21</f>
        <v>1886.0776543012591</v>
      </c>
      <c r="S47" s="7">
        <f>$B47*'Distributor Payments'!Q$21</f>
        <v>1886.0776543012591</v>
      </c>
      <c r="T47" s="7">
        <f>$B47*'Distributor Payments'!R$21</f>
        <v>1886.0776543012591</v>
      </c>
      <c r="U47" s="7">
        <f>$B47*'Distributor Payments'!S$21</f>
        <v>1886.0776543012591</v>
      </c>
      <c r="V47" s="7">
        <f>$B47*'Distributor Payments'!T$21</f>
        <v>1886.0776543012591</v>
      </c>
      <c r="W47" s="7">
        <f>$B47*'Distributor Payments'!U$21</f>
        <v>1886.0776543012591</v>
      </c>
      <c r="X47" s="7">
        <f>B47*'Distributor Payments'!$V$21</f>
        <v>461.66476926056464</v>
      </c>
      <c r="Y47" s="7">
        <v>0</v>
      </c>
      <c r="Z47" s="7">
        <f t="shared" si="0"/>
        <v>32256.937696965204</v>
      </c>
    </row>
    <row r="48" spans="1:26" customFormat="1" x14ac:dyDescent="0.35">
      <c r="A48" s="3" t="s">
        <v>72</v>
      </c>
      <c r="B48" s="6">
        <v>4.1274553924800002E-3</v>
      </c>
      <c r="C48" s="8" t="s">
        <v>72</v>
      </c>
      <c r="D48" s="33" t="s">
        <v>336</v>
      </c>
      <c r="E48" s="25">
        <v>29769.52</v>
      </c>
      <c r="F48" s="25">
        <v>32454.59</v>
      </c>
      <c r="G48" s="28">
        <v>32454.59</v>
      </c>
      <c r="H48" s="28">
        <v>69320.77</v>
      </c>
      <c r="I48" s="28">
        <v>30511.37</v>
      </c>
      <c r="J48" s="7">
        <f>$B48*'Distributor Payments'!H$21</f>
        <v>69320.769253716528</v>
      </c>
      <c r="K48" s="7">
        <f>$B48*'Distributor Payments'!I$21</f>
        <v>69320.769253051651</v>
      </c>
      <c r="L48" s="7">
        <f>$B48*'Distributor Payments'!J$21</f>
        <v>26411.213084111769</v>
      </c>
      <c r="M48" s="7">
        <f>$B48*'Distributor Payments'!K$21</f>
        <v>81529.576553344319</v>
      </c>
      <c r="N48" s="7">
        <f>$B48*'Distributor Payments'!L$21</f>
        <v>81529.576553344319</v>
      </c>
      <c r="O48" s="7">
        <f>$B48*'Distributor Payments'!M$21</f>
        <v>81529.576553344319</v>
      </c>
      <c r="P48" s="7">
        <f>$B48*'Distributor Payments'!N$21</f>
        <v>68533.837171474006</v>
      </c>
      <c r="Q48" s="7">
        <f>$B48*'Distributor Payments'!O$21</f>
        <v>68533.837171474006</v>
      </c>
      <c r="R48" s="7">
        <f>$B48*'Distributor Payments'!P$21</f>
        <v>68533.837171474006</v>
      </c>
      <c r="S48" s="7">
        <f>$B48*'Distributor Payments'!Q$21</f>
        <v>68533.837171474006</v>
      </c>
      <c r="T48" s="7">
        <f>$B48*'Distributor Payments'!R$21</f>
        <v>68533.837171474006</v>
      </c>
      <c r="U48" s="7">
        <f>$B48*'Distributor Payments'!S$21</f>
        <v>68533.837171474006</v>
      </c>
      <c r="V48" s="7">
        <f>$B48*'Distributor Payments'!T$21</f>
        <v>68533.837171474006</v>
      </c>
      <c r="W48" s="7">
        <f>$B48*'Distributor Payments'!U$21</f>
        <v>68533.837171474006</v>
      </c>
      <c r="X48" s="7">
        <f>B48*'Distributor Payments'!$V$21</f>
        <v>16775.374042608702</v>
      </c>
      <c r="Y48" s="7">
        <v>0</v>
      </c>
      <c r="Z48" s="7">
        <f t="shared" si="0"/>
        <v>1169198.3926653138</v>
      </c>
    </row>
    <row r="49" spans="1:26" customFormat="1" x14ac:dyDescent="0.35">
      <c r="A49" s="3" t="s">
        <v>73</v>
      </c>
      <c r="B49" s="6">
        <v>2.1428580409600002E-3</v>
      </c>
      <c r="C49" s="8" t="s">
        <v>73</v>
      </c>
      <c r="D49" s="33" t="s">
        <v>336</v>
      </c>
      <c r="E49" s="25">
        <v>15455.49</v>
      </c>
      <c r="F49" s="25">
        <v>16849.509999999998</v>
      </c>
      <c r="G49" s="28">
        <v>16849.509999999998</v>
      </c>
      <c r="H49" s="28">
        <v>35989.379999999997</v>
      </c>
      <c r="I49" s="28">
        <v>15840.64</v>
      </c>
      <c r="J49" s="7">
        <f>$B49*'Distributor Payments'!H$21</f>
        <v>35989.381756008639</v>
      </c>
      <c r="K49" s="7">
        <f>$B49*'Distributor Payments'!I$21</f>
        <v>35989.38175566346</v>
      </c>
      <c r="L49" s="7">
        <f>$B49*'Distributor Payments'!J$21</f>
        <v>13711.954448232382</v>
      </c>
      <c r="M49" s="7">
        <f>$B49*'Distributor Payments'!K$21</f>
        <v>42327.849020901158</v>
      </c>
      <c r="N49" s="7">
        <f>$B49*'Distributor Payments'!L$21</f>
        <v>42327.849020901158</v>
      </c>
      <c r="O49" s="7">
        <f>$B49*'Distributor Payments'!M$21</f>
        <v>42327.849020901158</v>
      </c>
      <c r="P49" s="7">
        <f>$B49*'Distributor Payments'!N$21</f>
        <v>35580.828887528194</v>
      </c>
      <c r="Q49" s="7">
        <f>$B49*'Distributor Payments'!O$21</f>
        <v>35580.828887528194</v>
      </c>
      <c r="R49" s="7">
        <f>$B49*'Distributor Payments'!P$21</f>
        <v>35580.828887528194</v>
      </c>
      <c r="S49" s="7">
        <f>$B49*'Distributor Payments'!Q$21</f>
        <v>35580.828887528194</v>
      </c>
      <c r="T49" s="7">
        <f>$B49*'Distributor Payments'!R$21</f>
        <v>35580.828887528194</v>
      </c>
      <c r="U49" s="7">
        <f>$B49*'Distributor Payments'!S$21</f>
        <v>35580.828887528194</v>
      </c>
      <c r="V49" s="7">
        <f>$B49*'Distributor Payments'!T$21</f>
        <v>35580.828887528194</v>
      </c>
      <c r="W49" s="7">
        <f>$B49*'Distributor Payments'!U$21</f>
        <v>35580.828887528194</v>
      </c>
      <c r="X49" s="7">
        <f>B49*'Distributor Payments'!$V$21</f>
        <v>8709.2994930507684</v>
      </c>
      <c r="Y49" s="7">
        <v>0</v>
      </c>
      <c r="Z49" s="7">
        <f t="shared" si="0"/>
        <v>607014.72561588429</v>
      </c>
    </row>
    <row r="50" spans="1:26" customFormat="1" x14ac:dyDescent="0.35">
      <c r="A50" s="3" t="s">
        <v>74</v>
      </c>
      <c r="B50" s="6">
        <v>3.0541231375200003E-3</v>
      </c>
      <c r="C50" s="8" t="s">
        <v>74</v>
      </c>
      <c r="D50" s="33" t="s">
        <v>336</v>
      </c>
      <c r="E50" s="25">
        <v>22028.05</v>
      </c>
      <c r="F50" s="25">
        <v>24014.87</v>
      </c>
      <c r="G50" s="28">
        <v>24014.87</v>
      </c>
      <c r="H50" s="28">
        <v>51294.11</v>
      </c>
      <c r="I50" s="28">
        <v>22576.98</v>
      </c>
      <c r="J50" s="7">
        <f>$B50*'Distributor Payments'!H$21</f>
        <v>51294.113480715598</v>
      </c>
      <c r="K50" s="7">
        <f>$B50*'Distributor Payments'!I$21</f>
        <v>51294.113480223627</v>
      </c>
      <c r="L50" s="7">
        <f>$B50*'Distributor Payments'!J$21</f>
        <v>19543.057235002587</v>
      </c>
      <c r="M50" s="7">
        <f>$B50*'Distributor Payments'!K$21</f>
        <v>60328.057475180467</v>
      </c>
      <c r="N50" s="7">
        <f>$B50*'Distributor Payments'!L$21</f>
        <v>60328.057475180467</v>
      </c>
      <c r="O50" s="7">
        <f>$B50*'Distributor Payments'!M$21</f>
        <v>60328.057475180467</v>
      </c>
      <c r="P50" s="7">
        <f>$B50*'Distributor Payments'!N$21</f>
        <v>50711.820699450778</v>
      </c>
      <c r="Q50" s="7">
        <f>$B50*'Distributor Payments'!O$21</f>
        <v>50711.820699450778</v>
      </c>
      <c r="R50" s="7">
        <f>$B50*'Distributor Payments'!P$21</f>
        <v>50711.820699450778</v>
      </c>
      <c r="S50" s="7">
        <f>$B50*'Distributor Payments'!Q$21</f>
        <v>50711.820699450778</v>
      </c>
      <c r="T50" s="7">
        <f>$B50*'Distributor Payments'!R$21</f>
        <v>50711.820699450778</v>
      </c>
      <c r="U50" s="7">
        <f>$B50*'Distributor Payments'!S$21</f>
        <v>50711.820699450778</v>
      </c>
      <c r="V50" s="7">
        <f>$B50*'Distributor Payments'!T$21</f>
        <v>50711.820699450778</v>
      </c>
      <c r="W50" s="7">
        <f>$B50*'Distributor Payments'!U$21</f>
        <v>50711.820699450778</v>
      </c>
      <c r="X50" s="7">
        <f>B50*'Distributor Payments'!$V$21</f>
        <v>12412.988907749152</v>
      </c>
      <c r="Y50" s="7">
        <v>0</v>
      </c>
      <c r="Z50" s="7">
        <f t="shared" si="0"/>
        <v>865151.89112483873</v>
      </c>
    </row>
    <row r="51" spans="1:26" customFormat="1" x14ac:dyDescent="0.35">
      <c r="A51" s="3" t="s">
        <v>75</v>
      </c>
      <c r="B51" s="6">
        <v>1.1833646673192724E-3</v>
      </c>
      <c r="C51" s="8" t="s">
        <v>76</v>
      </c>
      <c r="D51" s="33" t="s">
        <v>336</v>
      </c>
      <c r="E51" s="25">
        <v>8797.61</v>
      </c>
      <c r="F51" s="29">
        <v>9591.1200000000008</v>
      </c>
      <c r="G51" s="28">
        <v>9591.1200000000008</v>
      </c>
      <c r="H51" s="28">
        <v>19874.650000000001</v>
      </c>
      <c r="I51" s="28">
        <v>8747.7800000000007</v>
      </c>
      <c r="J51" s="7">
        <f>$B51*'Distributor Payments'!H$21</f>
        <v>19874.654295646102</v>
      </c>
      <c r="K51" s="7">
        <f>$B51*'Distributor Payments'!I$21</f>
        <v>19874.654295455479</v>
      </c>
      <c r="L51" s="7">
        <f>$B51*'Distributor Payments'!J$21</f>
        <v>7572.2432861955585</v>
      </c>
      <c r="M51" s="7">
        <f>$B51*'Distributor Payments'!K$21</f>
        <v>23374.987991513939</v>
      </c>
      <c r="N51" s="7">
        <f>$B51*'Distributor Payments'!L$21</f>
        <v>23374.987991513939</v>
      </c>
      <c r="O51" s="7">
        <f>$B51*'Distributor Payments'!M$21</f>
        <v>23374.987991513939</v>
      </c>
      <c r="P51" s="7">
        <f>$B51*'Distributor Payments'!N$21</f>
        <v>19649.036443203062</v>
      </c>
      <c r="Q51" s="7">
        <f>$B51*'Distributor Payments'!O$21</f>
        <v>19649.036443203062</v>
      </c>
      <c r="R51" s="7">
        <f>$B51*'Distributor Payments'!P$21</f>
        <v>19649.036443203062</v>
      </c>
      <c r="S51" s="7">
        <f>$B51*'Distributor Payments'!Q$21</f>
        <v>19649.036443203062</v>
      </c>
      <c r="T51" s="7">
        <f>$B51*'Distributor Payments'!R$21</f>
        <v>19649.036443203062</v>
      </c>
      <c r="U51" s="7">
        <f>$B51*'Distributor Payments'!S$21</f>
        <v>19649.036443203062</v>
      </c>
      <c r="V51" s="7">
        <f>$B51*'Distributor Payments'!T$21</f>
        <v>19649.036443203062</v>
      </c>
      <c r="W51" s="7">
        <f>$B51*'Distributor Payments'!U$21</f>
        <v>19649.036443203062</v>
      </c>
      <c r="X51" s="7">
        <f>B51*'Distributor Payments'!$V$21</f>
        <v>4809.5940562449568</v>
      </c>
      <c r="Y51" s="7">
        <v>0</v>
      </c>
      <c r="Z51" s="7">
        <f t="shared" si="0"/>
        <v>336050.68145370833</v>
      </c>
    </row>
    <row r="52" spans="1:26" customFormat="1" x14ac:dyDescent="0.35">
      <c r="A52" s="3" t="s">
        <v>77</v>
      </c>
      <c r="B52" s="6">
        <v>2.7759273233599999E-3</v>
      </c>
      <c r="C52" s="8" t="s">
        <v>77</v>
      </c>
      <c r="D52" s="33" t="s">
        <v>336</v>
      </c>
      <c r="E52" s="25">
        <v>20021.55</v>
      </c>
      <c r="F52" s="25">
        <v>21827.39</v>
      </c>
      <c r="G52" s="28">
        <v>21827.39</v>
      </c>
      <c r="H52" s="28">
        <v>46621.8</v>
      </c>
      <c r="I52" s="28">
        <v>20520.47</v>
      </c>
      <c r="J52" s="7">
        <f>$B52*'Distributor Payments'!H$21</f>
        <v>46621.804271542569</v>
      </c>
      <c r="K52" s="7">
        <f>$B52*'Distributor Payments'!I$21</f>
        <v>46621.804271095411</v>
      </c>
      <c r="L52" s="7">
        <f>$B52*'Distributor Payments'!J$21</f>
        <v>17762.907426412421</v>
      </c>
      <c r="M52" s="7">
        <f>$B52*'Distributor Payments'!K$21</f>
        <v>54832.858915626901</v>
      </c>
      <c r="N52" s="7">
        <f>$B52*'Distributor Payments'!L$21</f>
        <v>54832.858915626901</v>
      </c>
      <c r="O52" s="7">
        <f>$B52*'Distributor Payments'!M$21</f>
        <v>54832.858915626901</v>
      </c>
      <c r="P52" s="7">
        <f>$B52*'Distributor Payments'!N$21</f>
        <v>46092.551727055819</v>
      </c>
      <c r="Q52" s="7">
        <f>$B52*'Distributor Payments'!O$21</f>
        <v>46092.551727055819</v>
      </c>
      <c r="R52" s="7">
        <f>$B52*'Distributor Payments'!P$21</f>
        <v>46092.551727055819</v>
      </c>
      <c r="S52" s="7">
        <f>$B52*'Distributor Payments'!Q$21</f>
        <v>46092.551727055819</v>
      </c>
      <c r="T52" s="7">
        <f>$B52*'Distributor Payments'!R$21</f>
        <v>46092.551727055819</v>
      </c>
      <c r="U52" s="7">
        <f>$B52*'Distributor Payments'!S$21</f>
        <v>46092.551727055819</v>
      </c>
      <c r="V52" s="7">
        <f>$B52*'Distributor Payments'!T$21</f>
        <v>46092.551727055819</v>
      </c>
      <c r="W52" s="7">
        <f>$B52*'Distributor Payments'!U$21</f>
        <v>46092.551727055819</v>
      </c>
      <c r="X52" s="7">
        <f>B52*'Distributor Payments'!$V$21</f>
        <v>11282.307072125976</v>
      </c>
      <c r="Y52" s="7">
        <v>0</v>
      </c>
      <c r="Z52" s="7">
        <f t="shared" si="0"/>
        <v>786346.4136045035</v>
      </c>
    </row>
    <row r="53" spans="1:26" customFormat="1" x14ac:dyDescent="0.35">
      <c r="A53" s="3" t="s">
        <v>78</v>
      </c>
      <c r="B53" s="6">
        <v>2.6242966079416128E-3</v>
      </c>
      <c r="C53" s="8" t="s">
        <v>78</v>
      </c>
      <c r="D53" s="33" t="s">
        <v>336</v>
      </c>
      <c r="E53" s="25">
        <v>19510.09</v>
      </c>
      <c r="F53" s="25">
        <v>21269.81</v>
      </c>
      <c r="G53" s="28">
        <v>21269.81</v>
      </c>
      <c r="H53" s="28">
        <v>44075.16</v>
      </c>
      <c r="I53" s="28">
        <v>19399.57</v>
      </c>
      <c r="J53" s="7">
        <f>$B53*'Distributor Payments'!H$21</f>
        <v>44075.160677418033</v>
      </c>
      <c r="K53" s="7">
        <f>$B53*'Distributor Payments'!I$21</f>
        <v>44075.160676995292</v>
      </c>
      <c r="L53" s="7">
        <f>$B53*'Distributor Payments'!J$21</f>
        <v>16792.636217108069</v>
      </c>
      <c r="M53" s="7">
        <f>$B53*'Distributor Payments'!K$21</f>
        <v>51837.699224000586</v>
      </c>
      <c r="N53" s="7">
        <f>$B53*'Distributor Payments'!L$21</f>
        <v>51837.699224000586</v>
      </c>
      <c r="O53" s="7">
        <f>$B53*'Distributor Payments'!M$21</f>
        <v>51837.699224000586</v>
      </c>
      <c r="P53" s="7">
        <f>$B53*'Distributor Payments'!N$21</f>
        <v>43574.817730557348</v>
      </c>
      <c r="Q53" s="7">
        <f>$B53*'Distributor Payments'!O$21</f>
        <v>43574.817730557348</v>
      </c>
      <c r="R53" s="7">
        <f>$B53*'Distributor Payments'!P$21</f>
        <v>43574.817730557348</v>
      </c>
      <c r="S53" s="7">
        <f>$B53*'Distributor Payments'!Q$21</f>
        <v>43574.817730557348</v>
      </c>
      <c r="T53" s="7">
        <f>$B53*'Distributor Payments'!R$21</f>
        <v>43574.817730557348</v>
      </c>
      <c r="U53" s="7">
        <f>$B53*'Distributor Payments'!S$21</f>
        <v>43574.817730557348</v>
      </c>
      <c r="V53" s="7">
        <f>$B53*'Distributor Payments'!T$21</f>
        <v>43574.817730557348</v>
      </c>
      <c r="W53" s="7">
        <f>$B53*'Distributor Payments'!U$21</f>
        <v>43574.817730557348</v>
      </c>
      <c r="X53" s="7">
        <f>B53*'Distributor Payments'!$V$21</f>
        <v>10666.028584385995</v>
      </c>
      <c r="Y53" s="7">
        <v>0</v>
      </c>
      <c r="Z53" s="7">
        <f t="shared" si="0"/>
        <v>745245.06567236804</v>
      </c>
    </row>
    <row r="54" spans="1:26" customFormat="1" x14ac:dyDescent="0.35">
      <c r="A54" s="3" t="s">
        <v>34</v>
      </c>
      <c r="B54" s="6">
        <v>1.3075223087549408E-4</v>
      </c>
      <c r="C54" s="8" t="s">
        <v>79</v>
      </c>
      <c r="D54" s="33" t="s">
        <v>336</v>
      </c>
      <c r="E54" s="25">
        <v>972.07</v>
      </c>
      <c r="F54" s="25">
        <v>1059.74</v>
      </c>
      <c r="G54" s="28">
        <v>1059.74</v>
      </c>
      <c r="H54" s="28">
        <v>2195.9899999999998</v>
      </c>
      <c r="I54" s="28">
        <v>966.56</v>
      </c>
      <c r="J54" s="7">
        <f>$B54*'Distributor Payments'!H$21</f>
        <v>2195.9886574286493</v>
      </c>
      <c r="K54" s="7">
        <f>$B54*'Distributor Payments'!I$21</f>
        <v>2195.9886574075872</v>
      </c>
      <c r="L54" s="7">
        <f>$B54*'Distributor Payments'!J$21</f>
        <v>836.6716784310795</v>
      </c>
      <c r="M54" s="7">
        <f>$B54*'Distributor Payments'!K$21</f>
        <v>2582.7472384332495</v>
      </c>
      <c r="N54" s="7">
        <f>$B54*'Distributor Payments'!L$21</f>
        <v>2582.7472384332495</v>
      </c>
      <c r="O54" s="7">
        <f>$B54*'Distributor Payments'!M$21</f>
        <v>2582.7472384332495</v>
      </c>
      <c r="P54" s="7">
        <f>$B54*'Distributor Payments'!N$21</f>
        <v>2171.0597083506841</v>
      </c>
      <c r="Q54" s="7">
        <f>$B54*'Distributor Payments'!O$21</f>
        <v>2171.0597083506841</v>
      </c>
      <c r="R54" s="7">
        <f>$B54*'Distributor Payments'!P$21</f>
        <v>2171.0597083506841</v>
      </c>
      <c r="S54" s="7">
        <f>$B54*'Distributor Payments'!Q$21</f>
        <v>2171.0597083506841</v>
      </c>
      <c r="T54" s="7">
        <f>$B54*'Distributor Payments'!R$21</f>
        <v>2171.0597083506841</v>
      </c>
      <c r="U54" s="7">
        <f>$B54*'Distributor Payments'!S$21</f>
        <v>2171.0597083506841</v>
      </c>
      <c r="V54" s="7">
        <f>$B54*'Distributor Payments'!T$21</f>
        <v>2171.0597083506841</v>
      </c>
      <c r="W54" s="7">
        <f>$B54*'Distributor Payments'!U$21</f>
        <v>2171.0597083506841</v>
      </c>
      <c r="X54" s="7">
        <f>B54*'Distributor Payments'!$V$21</f>
        <v>531.42126837717774</v>
      </c>
      <c r="Y54" s="7">
        <v>0</v>
      </c>
      <c r="Z54" s="7">
        <f t="shared" si="0"/>
        <v>37130.889643749717</v>
      </c>
    </row>
    <row r="55" spans="1:26" customFormat="1" x14ac:dyDescent="0.35">
      <c r="A55" s="3" t="s">
        <v>75</v>
      </c>
      <c r="B55" s="6">
        <v>6.5243179433600003E-3</v>
      </c>
      <c r="C55" s="8" t="s">
        <v>80</v>
      </c>
      <c r="D55" s="33" t="s">
        <v>336</v>
      </c>
      <c r="E55" s="25">
        <v>47057.04</v>
      </c>
      <c r="F55" s="25">
        <v>42481.72</v>
      </c>
      <c r="G55" s="28">
        <v>51301.36</v>
      </c>
      <c r="H55" s="28">
        <v>109576.17</v>
      </c>
      <c r="I55" s="28">
        <v>48229.68</v>
      </c>
      <c r="J55" s="7">
        <f>$B55*'Distributor Payments'!H$21</f>
        <v>109576.16635022966</v>
      </c>
      <c r="K55" s="7">
        <f>$B55*'Distributor Payments'!I$21</f>
        <v>109576.16634917867</v>
      </c>
      <c r="L55" s="7">
        <f>$B55*'Distributor Payments'!J$21</f>
        <v>41748.519376980708</v>
      </c>
      <c r="M55" s="7">
        <f>$B55*'Distributor Payments'!K$21</f>
        <v>128874.77359311147</v>
      </c>
      <c r="N55" s="7">
        <f>$B55*'Distributor Payments'!L$21</f>
        <v>128874.77359311147</v>
      </c>
      <c r="O55" s="7">
        <f>$B55*'Distributor Payments'!M$21</f>
        <v>128874.77359311147</v>
      </c>
      <c r="P55" s="7">
        <f>$B55*'Distributor Payments'!N$21</f>
        <v>108332.25342660733</v>
      </c>
      <c r="Q55" s="7">
        <f>$B55*'Distributor Payments'!O$21</f>
        <v>108332.25342660733</v>
      </c>
      <c r="R55" s="7">
        <f>$B55*'Distributor Payments'!P$21</f>
        <v>108332.25342660733</v>
      </c>
      <c r="S55" s="7">
        <f>$B55*'Distributor Payments'!Q$21</f>
        <v>108332.25342660733</v>
      </c>
      <c r="T55" s="7">
        <f>$B55*'Distributor Payments'!R$21</f>
        <v>108332.25342660733</v>
      </c>
      <c r="U55" s="7">
        <f>$B55*'Distributor Payments'!S$21</f>
        <v>108332.25342660733</v>
      </c>
      <c r="V55" s="7">
        <f>$B55*'Distributor Payments'!T$21</f>
        <v>108332.25342660733</v>
      </c>
      <c r="W55" s="7">
        <f>$B55*'Distributor Payments'!U$21</f>
        <v>108332.25342660733</v>
      </c>
      <c r="X55" s="7">
        <f>B55*'Distributor Payments'!$V$21</f>
        <v>26517.033732738975</v>
      </c>
      <c r="Y55" s="7">
        <v>0</v>
      </c>
      <c r="Z55" s="7">
        <f t="shared" si="0"/>
        <v>1839346.2040013203</v>
      </c>
    </row>
    <row r="56" spans="1:26" customFormat="1" x14ac:dyDescent="0.35">
      <c r="A56" s="3" t="s">
        <v>40</v>
      </c>
      <c r="B56" s="6">
        <v>5.4026690121600001E-3</v>
      </c>
      <c r="C56" s="8" t="s">
        <v>40</v>
      </c>
      <c r="D56" s="33" t="s">
        <v>336</v>
      </c>
      <c r="E56" s="25">
        <v>38967.08</v>
      </c>
      <c r="F56" s="29">
        <v>51301.36</v>
      </c>
      <c r="G56" s="28">
        <v>42481.72</v>
      </c>
      <c r="H56" s="28">
        <v>90738.03</v>
      </c>
      <c r="I56" s="28">
        <v>39938.120000000003</v>
      </c>
      <c r="J56" s="7">
        <f>$B56*'Distributor Payments'!H$21</f>
        <v>90738.030174353407</v>
      </c>
      <c r="K56" s="7">
        <f>$B56*'Distributor Payments'!I$21</f>
        <v>90738.030173483116</v>
      </c>
      <c r="L56" s="7">
        <f>$B56*'Distributor Payments'!J$21</f>
        <v>34571.189494394232</v>
      </c>
      <c r="M56" s="7">
        <f>$B56*'Distributor Payments'!K$21</f>
        <v>106718.85579231349</v>
      </c>
      <c r="N56" s="7">
        <f>$B56*'Distributor Payments'!L$21</f>
        <v>106718.85579231349</v>
      </c>
      <c r="O56" s="7">
        <f>$B56*'Distributor Payments'!M$21</f>
        <v>106718.85579231349</v>
      </c>
      <c r="P56" s="7">
        <f>$B56*'Distributor Payments'!N$21</f>
        <v>89707.96850896212</v>
      </c>
      <c r="Q56" s="7">
        <f>$B56*'Distributor Payments'!O$21</f>
        <v>89707.96850896212</v>
      </c>
      <c r="R56" s="7">
        <f>$B56*'Distributor Payments'!P$21</f>
        <v>89707.96850896212</v>
      </c>
      <c r="S56" s="7">
        <f>$B56*'Distributor Payments'!Q$21</f>
        <v>89707.96850896212</v>
      </c>
      <c r="T56" s="7">
        <f>$B56*'Distributor Payments'!R$21</f>
        <v>89707.96850896212</v>
      </c>
      <c r="U56" s="7">
        <f>$B56*'Distributor Payments'!S$21</f>
        <v>89707.96850896212</v>
      </c>
      <c r="V56" s="7">
        <f>$B56*'Distributor Payments'!T$21</f>
        <v>89707.96850896212</v>
      </c>
      <c r="W56" s="7">
        <f>$B56*'Distributor Payments'!U$21</f>
        <v>89707.96850896212</v>
      </c>
      <c r="X56" s="7">
        <f>B56*'Distributor Payments'!$V$21</f>
        <v>21958.273291704492</v>
      </c>
      <c r="Y56" s="7">
        <v>0</v>
      </c>
      <c r="Z56" s="7">
        <f t="shared" si="0"/>
        <v>1539252.1485825724</v>
      </c>
    </row>
    <row r="57" spans="1:26" customFormat="1" x14ac:dyDescent="0.35">
      <c r="A57" s="3" t="s">
        <v>58</v>
      </c>
      <c r="B57" s="6">
        <v>7.2438662113715282E-5</v>
      </c>
      <c r="C57" s="8" t="s">
        <v>81</v>
      </c>
      <c r="D57" s="33" t="s">
        <v>336</v>
      </c>
      <c r="E57" s="25">
        <v>538.54</v>
      </c>
      <c r="F57" s="25">
        <v>587.11</v>
      </c>
      <c r="G57" s="28">
        <v>587.11</v>
      </c>
      <c r="H57" s="28">
        <v>1216.6099999999999</v>
      </c>
      <c r="I57" s="28">
        <v>535.49</v>
      </c>
      <c r="J57" s="7">
        <f>$B57*'Distributor Payments'!H$21</f>
        <v>1216.6100669632194</v>
      </c>
      <c r="K57" s="7">
        <f>$B57*'Distributor Payments'!I$21</f>
        <v>1216.6100669515506</v>
      </c>
      <c r="L57" s="7">
        <f>$B57*'Distributor Payments'!J$21</f>
        <v>463.52843548570922</v>
      </c>
      <c r="M57" s="7">
        <f>$B57*'Distributor Payments'!K$21</f>
        <v>1430.8800184690574</v>
      </c>
      <c r="N57" s="7">
        <f>$B57*'Distributor Payments'!L$21</f>
        <v>1430.8800184690574</v>
      </c>
      <c r="O57" s="7">
        <f>$B57*'Distributor Payments'!M$21</f>
        <v>1430.8800184690574</v>
      </c>
      <c r="P57" s="7">
        <f>$B57*'Distributor Payments'!N$21</f>
        <v>1202.7990619270736</v>
      </c>
      <c r="Q57" s="7">
        <f>$B57*'Distributor Payments'!O$21</f>
        <v>1202.7990619270736</v>
      </c>
      <c r="R57" s="7">
        <f>$B57*'Distributor Payments'!P$21</f>
        <v>1202.7990619270736</v>
      </c>
      <c r="S57" s="7">
        <f>$B57*'Distributor Payments'!Q$21</f>
        <v>1202.7990619270736</v>
      </c>
      <c r="T57" s="7">
        <f>$B57*'Distributor Payments'!R$21</f>
        <v>1202.7990619270736</v>
      </c>
      <c r="U57" s="7">
        <f>$B57*'Distributor Payments'!S$21</f>
        <v>1202.7990619270736</v>
      </c>
      <c r="V57" s="7">
        <f>$B57*'Distributor Payments'!T$21</f>
        <v>1202.7990619270736</v>
      </c>
      <c r="W57" s="7">
        <f>$B57*'Distributor Payments'!U$21</f>
        <v>1202.7990619270736</v>
      </c>
      <c r="X57" s="7">
        <f>B57*'Distributor Payments'!$V$21</f>
        <v>294.41521144425309</v>
      </c>
      <c r="Y57" s="7">
        <v>0</v>
      </c>
      <c r="Z57" s="7">
        <f t="shared" si="0"/>
        <v>20571.056331668493</v>
      </c>
    </row>
    <row r="58" spans="1:26" customFormat="1" x14ac:dyDescent="0.35">
      <c r="A58" s="3" t="s">
        <v>34</v>
      </c>
      <c r="B58" s="6">
        <v>1.8638816278393182E-4</v>
      </c>
      <c r="C58" s="8" t="s">
        <v>82</v>
      </c>
      <c r="D58" s="33" t="s">
        <v>336</v>
      </c>
      <c r="E58" s="25">
        <v>1385.69</v>
      </c>
      <c r="F58" s="29">
        <v>1510.67</v>
      </c>
      <c r="G58" s="28">
        <v>1510.67</v>
      </c>
      <c r="H58" s="28">
        <v>3130.4</v>
      </c>
      <c r="I58" s="28">
        <v>1377.84</v>
      </c>
      <c r="J58" s="7">
        <f>$B58*'Distributor Payments'!H$21</f>
        <v>3130.3962357799601</v>
      </c>
      <c r="K58" s="7">
        <f>$B58*'Distributor Payments'!I$21</f>
        <v>3130.3962357499358</v>
      </c>
      <c r="L58" s="7">
        <f>$B58*'Distributor Payments'!J$21</f>
        <v>1192.6809657619788</v>
      </c>
      <c r="M58" s="7">
        <f>$B58*'Distributor Payments'!K$21</f>
        <v>3681.7231299498303</v>
      </c>
      <c r="N58" s="7">
        <f>$B58*'Distributor Payments'!L$21</f>
        <v>3681.7231299498303</v>
      </c>
      <c r="O58" s="7">
        <f>$B58*'Distributor Payments'!M$21</f>
        <v>3681.7231299498303</v>
      </c>
      <c r="P58" s="7">
        <f>$B58*'Distributor Payments'!N$21</f>
        <v>3094.8598553475636</v>
      </c>
      <c r="Q58" s="7">
        <f>$B58*'Distributor Payments'!O$21</f>
        <v>3094.8598553475636</v>
      </c>
      <c r="R58" s="7">
        <f>$B58*'Distributor Payments'!P$21</f>
        <v>3094.8598553475636</v>
      </c>
      <c r="S58" s="7">
        <f>$B58*'Distributor Payments'!Q$21</f>
        <v>3094.8598553475636</v>
      </c>
      <c r="T58" s="7">
        <f>$B58*'Distributor Payments'!R$21</f>
        <v>3094.8598553475636</v>
      </c>
      <c r="U58" s="7">
        <f>$B58*'Distributor Payments'!S$21</f>
        <v>3094.8598553475636</v>
      </c>
      <c r="V58" s="7">
        <f>$B58*'Distributor Payments'!T$21</f>
        <v>3094.8598553475636</v>
      </c>
      <c r="W58" s="7">
        <f>$B58*'Distributor Payments'!U$21</f>
        <v>3094.8598553475636</v>
      </c>
      <c r="X58" s="7">
        <f>B58*'Distributor Payments'!$V$21</f>
        <v>757.54450393620971</v>
      </c>
      <c r="Y58" s="7">
        <v>0</v>
      </c>
      <c r="Z58" s="7">
        <f t="shared" si="0"/>
        <v>52930.336173858064</v>
      </c>
    </row>
    <row r="59" spans="1:26" customFormat="1" x14ac:dyDescent="0.35">
      <c r="A59" s="3" t="s">
        <v>83</v>
      </c>
      <c r="B59" s="6">
        <v>7.9220184314155847E-5</v>
      </c>
      <c r="C59" s="8" t="s">
        <v>84</v>
      </c>
      <c r="D59" s="33" t="s">
        <v>336</v>
      </c>
      <c r="E59" s="25">
        <v>588.96</v>
      </c>
      <c r="F59" s="29">
        <v>642.08000000000004</v>
      </c>
      <c r="G59" s="28">
        <v>642.08000000000004</v>
      </c>
      <c r="H59" s="28">
        <v>1330.51</v>
      </c>
      <c r="I59" s="28">
        <v>585.62</v>
      </c>
      <c r="J59" s="7">
        <f>$B59*'Distributor Payments'!H$21</f>
        <v>1330.5059885284031</v>
      </c>
      <c r="K59" s="7">
        <f>$B59*'Distributor Payments'!I$21</f>
        <v>1330.5059885156418</v>
      </c>
      <c r="L59" s="7">
        <f>$B59*'Distributor Payments'!J$21</f>
        <v>506.92278159949052</v>
      </c>
      <c r="M59" s="7">
        <f>$B59*'Distributor Payments'!K$21</f>
        <v>1564.8353446480796</v>
      </c>
      <c r="N59" s="7">
        <f>$B59*'Distributor Payments'!L$21</f>
        <v>1564.8353446480796</v>
      </c>
      <c r="O59" s="7">
        <f>$B59*'Distributor Payments'!M$21</f>
        <v>1564.8353446480796</v>
      </c>
      <c r="P59" s="7">
        <f>$B59*'Distributor Payments'!N$21</f>
        <v>1315.4020325385802</v>
      </c>
      <c r="Q59" s="7">
        <f>$B59*'Distributor Payments'!O$21</f>
        <v>1315.4020325385802</v>
      </c>
      <c r="R59" s="7">
        <f>$B59*'Distributor Payments'!P$21</f>
        <v>1315.4020325385802</v>
      </c>
      <c r="S59" s="7">
        <f>$B59*'Distributor Payments'!Q$21</f>
        <v>1315.4020325385802</v>
      </c>
      <c r="T59" s="7">
        <f>$B59*'Distributor Payments'!R$21</f>
        <v>1315.4020325385802</v>
      </c>
      <c r="U59" s="7">
        <f>$B59*'Distributor Payments'!S$21</f>
        <v>1315.4020325385802</v>
      </c>
      <c r="V59" s="7">
        <f>$B59*'Distributor Payments'!T$21</f>
        <v>1315.4020325385802</v>
      </c>
      <c r="W59" s="7">
        <f>$B59*'Distributor Payments'!U$21</f>
        <v>1315.4020325385802</v>
      </c>
      <c r="X59" s="7">
        <f>B59*'Distributor Payments'!$V$21</f>
        <v>321.97761022823863</v>
      </c>
      <c r="Y59" s="7">
        <v>0</v>
      </c>
      <c r="Z59" s="7">
        <f t="shared" si="0"/>
        <v>22496.884663124652</v>
      </c>
    </row>
    <row r="60" spans="1:26" customFormat="1" x14ac:dyDescent="0.35">
      <c r="A60" s="3" t="s">
        <v>83</v>
      </c>
      <c r="B60" s="6">
        <v>8.9895201632256128E-6</v>
      </c>
      <c r="C60" s="8" t="s">
        <v>85</v>
      </c>
      <c r="D60" s="33" t="s">
        <v>338</v>
      </c>
      <c r="E60" s="25">
        <v>2409.09</v>
      </c>
      <c r="F60" s="47">
        <v>72.86</v>
      </c>
      <c r="G60" s="49">
        <v>72.86</v>
      </c>
      <c r="H60" s="28">
        <v>0</v>
      </c>
      <c r="I60" s="28">
        <v>0</v>
      </c>
      <c r="J60" s="49">
        <f>$B$60*'Distributor Payments'!H$21</f>
        <v>150.97933076925781</v>
      </c>
      <c r="K60" s="49">
        <f>$B$60*'Distributor Payments'!I$21</f>
        <v>150.97933076780973</v>
      </c>
      <c r="L60" s="49">
        <f>$B$60*'Distributor Payments'!J$21</f>
        <v>57.52312501970215</v>
      </c>
      <c r="M60" s="49">
        <f>$B$60*'Distributor Payments'!K$21</f>
        <v>177.56988328955907</v>
      </c>
      <c r="N60" s="49">
        <f>$B$60*'Distributor Payments'!L$21</f>
        <v>177.56988328955907</v>
      </c>
      <c r="O60" s="49">
        <f>$B$60*'Distributor Payments'!M$21</f>
        <v>177.56988328955907</v>
      </c>
      <c r="P60" s="49">
        <f>$B$60*'Distributor Payments'!N$21</f>
        <v>149.2654075047455</v>
      </c>
      <c r="Q60" s="49">
        <f>$B$60*'Distributor Payments'!O$21</f>
        <v>149.2654075047455</v>
      </c>
      <c r="R60" s="49">
        <f>$B$60*'Distributor Payments'!P$21</f>
        <v>149.2654075047455</v>
      </c>
      <c r="S60" s="49">
        <f>$B$60*'Distributor Payments'!Q$21</f>
        <v>149.2654075047455</v>
      </c>
      <c r="T60" s="49">
        <f>$B$60*'Distributor Payments'!R$21</f>
        <v>149.2654075047455</v>
      </c>
      <c r="U60" s="49">
        <f>$B$60*'Distributor Payments'!S$21</f>
        <v>149.2654075047455</v>
      </c>
      <c r="V60" s="49">
        <f>$B$60*'Distributor Payments'!T$21</f>
        <v>149.2654075047455</v>
      </c>
      <c r="W60" s="49">
        <f>$B$60*'Distributor Payments'!U$21</f>
        <v>149.2654075047455</v>
      </c>
      <c r="X60" s="49">
        <f>$B$60*'Distributor Payments'!V$21</f>
        <v>36.536448940535273</v>
      </c>
      <c r="Y60" s="7">
        <v>0</v>
      </c>
      <c r="Z60" s="7">
        <f>E60</f>
        <v>2409.09</v>
      </c>
    </row>
    <row r="61" spans="1:26" customFormat="1" x14ac:dyDescent="0.35">
      <c r="A61" s="3" t="s">
        <v>86</v>
      </c>
      <c r="B61" s="6">
        <v>2.88625325072E-3</v>
      </c>
      <c r="C61" s="8" t="s">
        <v>86</v>
      </c>
      <c r="D61" s="33" t="s">
        <v>336</v>
      </c>
      <c r="E61" s="25">
        <v>20817.28</v>
      </c>
      <c r="F61" s="25">
        <v>22694.9</v>
      </c>
      <c r="G61" s="28">
        <v>22694.9</v>
      </c>
      <c r="H61" s="28">
        <v>48474.73</v>
      </c>
      <c r="I61" s="28">
        <v>21336.04</v>
      </c>
      <c r="J61" s="7">
        <f>$B61*'Distributor Payments'!H$21</f>
        <v>48474.732389714089</v>
      </c>
      <c r="K61" s="7">
        <f>$B61*'Distributor Payments'!I$21</f>
        <v>48474.732389249155</v>
      </c>
      <c r="L61" s="7">
        <f>$B61*'Distributor Payments'!J$21</f>
        <v>18468.873039394224</v>
      </c>
      <c r="M61" s="7">
        <f>$B61*'Distributor Payments'!K$21</f>
        <v>57012.12562724392</v>
      </c>
      <c r="N61" s="7">
        <f>$B61*'Distributor Payments'!L$21</f>
        <v>57012.12562724392</v>
      </c>
      <c r="O61" s="7">
        <f>$B61*'Distributor Payments'!M$21</f>
        <v>57012.12562724392</v>
      </c>
      <c r="P61" s="7">
        <f>$B61*'Distributor Payments'!N$21</f>
        <v>47924.445332800889</v>
      </c>
      <c r="Q61" s="7">
        <f>$B61*'Distributor Payments'!O$21</f>
        <v>47924.445332800889</v>
      </c>
      <c r="R61" s="7">
        <f>$B61*'Distributor Payments'!P$21</f>
        <v>47924.445332800889</v>
      </c>
      <c r="S61" s="7">
        <f>$B61*'Distributor Payments'!Q$21</f>
        <v>47924.445332800889</v>
      </c>
      <c r="T61" s="7">
        <f>$B61*'Distributor Payments'!R$21</f>
        <v>47924.445332800889</v>
      </c>
      <c r="U61" s="7">
        <f>$B61*'Distributor Payments'!S$21</f>
        <v>47924.445332800889</v>
      </c>
      <c r="V61" s="7">
        <f>$B61*'Distributor Payments'!T$21</f>
        <v>47924.445332800889</v>
      </c>
      <c r="W61" s="7">
        <f>$B61*'Distributor Payments'!U$21</f>
        <v>47924.445332800889</v>
      </c>
      <c r="X61" s="7">
        <f>B61*'Distributor Payments'!$V$21</f>
        <v>11730.708937700019</v>
      </c>
      <c r="Y61" s="7">
        <v>0</v>
      </c>
      <c r="Z61" s="7">
        <f t="shared" si="0"/>
        <v>817598.83630019613</v>
      </c>
    </row>
    <row r="62" spans="1:26" customFormat="1" x14ac:dyDescent="0.35">
      <c r="A62" s="3" t="s">
        <v>63</v>
      </c>
      <c r="B62" s="6">
        <v>8.2901644793597081E-5</v>
      </c>
      <c r="C62" s="8" t="s">
        <v>87</v>
      </c>
      <c r="D62" s="33" t="s">
        <v>336</v>
      </c>
      <c r="E62" s="25">
        <v>616.32000000000005</v>
      </c>
      <c r="F62" s="25">
        <v>671.91</v>
      </c>
      <c r="G62" s="28">
        <v>671.91</v>
      </c>
      <c r="H62" s="28">
        <v>1392.34</v>
      </c>
      <c r="I62" s="28">
        <v>612.83000000000004</v>
      </c>
      <c r="J62" s="7">
        <f>$B62*'Distributor Payments'!H$21</f>
        <v>1392.3362563677565</v>
      </c>
      <c r="K62" s="7">
        <f>$B62*'Distributor Payments'!I$21</f>
        <v>1392.3362563544024</v>
      </c>
      <c r="L62" s="7">
        <f>$B62*'Distributor Payments'!J$21</f>
        <v>530.48011364489798</v>
      </c>
      <c r="M62" s="7">
        <f>$B62*'Distributor Payments'!K$21</f>
        <v>1637.5551890668876</v>
      </c>
      <c r="N62" s="7">
        <f>$B62*'Distributor Payments'!L$21</f>
        <v>1637.5551890668876</v>
      </c>
      <c r="O62" s="7">
        <f>$B62*'Distributor Payments'!M$21</f>
        <v>1637.5551890668876</v>
      </c>
      <c r="P62" s="7">
        <f>$B62*'Distributor Payments'!N$21</f>
        <v>1376.5304007605428</v>
      </c>
      <c r="Q62" s="7">
        <f>$B62*'Distributor Payments'!O$21</f>
        <v>1376.5304007605428</v>
      </c>
      <c r="R62" s="7">
        <f>$B62*'Distributor Payments'!P$21</f>
        <v>1376.5304007605428</v>
      </c>
      <c r="S62" s="7">
        <f>$B62*'Distributor Payments'!Q$21</f>
        <v>1376.5304007605428</v>
      </c>
      <c r="T62" s="7">
        <f>$B62*'Distributor Payments'!R$21</f>
        <v>1376.5304007605428</v>
      </c>
      <c r="U62" s="7">
        <f>$B62*'Distributor Payments'!S$21</f>
        <v>1376.5304007605428</v>
      </c>
      <c r="V62" s="7">
        <f>$B62*'Distributor Payments'!T$21</f>
        <v>1376.5304007605428</v>
      </c>
      <c r="W62" s="7">
        <f>$B62*'Distributor Payments'!U$21</f>
        <v>1376.5304007605428</v>
      </c>
      <c r="X62" s="7">
        <f>B62*'Distributor Payments'!$V$21</f>
        <v>336.94031017121745</v>
      </c>
      <c r="Y62" s="7">
        <v>0</v>
      </c>
      <c r="Z62" s="7">
        <f t="shared" si="0"/>
        <v>23542.311709823283</v>
      </c>
    </row>
    <row r="63" spans="1:26" customFormat="1" x14ac:dyDescent="0.35">
      <c r="A63" s="3" t="s">
        <v>22</v>
      </c>
      <c r="B63" s="6">
        <v>2.8087272219326216E-3</v>
      </c>
      <c r="C63" s="8" t="s">
        <v>88</v>
      </c>
      <c r="D63" s="33" t="s">
        <v>336</v>
      </c>
      <c r="E63" s="25">
        <v>20881.22</v>
      </c>
      <c r="F63" s="25">
        <v>22764.61</v>
      </c>
      <c r="G63" s="28">
        <v>22764.61</v>
      </c>
      <c r="H63" s="28">
        <v>47172.68</v>
      </c>
      <c r="I63" s="28">
        <v>20762.939999999999</v>
      </c>
      <c r="J63" s="7">
        <f>$B63*'Distributor Payments'!H$21</f>
        <v>47172.679807263827</v>
      </c>
      <c r="K63" s="7">
        <f>$B63*'Distributor Payments'!I$21</f>
        <v>47172.679806811379</v>
      </c>
      <c r="L63" s="7">
        <f>$B63*'Distributor Payments'!J$21</f>
        <v>17972.791005509869</v>
      </c>
      <c r="M63" s="7">
        <f>$B63*'Distributor Payments'!K$21</f>
        <v>55480.754916269492</v>
      </c>
      <c r="N63" s="7">
        <f>$B63*'Distributor Payments'!L$21</f>
        <v>55480.754916269492</v>
      </c>
      <c r="O63" s="7">
        <f>$B63*'Distributor Payments'!M$21</f>
        <v>55480.754916269492</v>
      </c>
      <c r="P63" s="7">
        <f>$B63*'Distributor Payments'!N$21</f>
        <v>46637.173702162436</v>
      </c>
      <c r="Q63" s="7">
        <f>$B63*'Distributor Payments'!O$21</f>
        <v>46637.173702162436</v>
      </c>
      <c r="R63" s="7">
        <f>$B63*'Distributor Payments'!P$21</f>
        <v>46637.173702162436</v>
      </c>
      <c r="S63" s="7">
        <f>$B63*'Distributor Payments'!Q$21</f>
        <v>46637.173702162436</v>
      </c>
      <c r="T63" s="7">
        <f>$B63*'Distributor Payments'!R$21</f>
        <v>46637.173702162436</v>
      </c>
      <c r="U63" s="7">
        <f>$B63*'Distributor Payments'!S$21</f>
        <v>46637.173702162436</v>
      </c>
      <c r="V63" s="7">
        <f>$B63*'Distributor Payments'!T$21</f>
        <v>46637.173702162436</v>
      </c>
      <c r="W63" s="7">
        <f>$B63*'Distributor Payments'!U$21</f>
        <v>46637.173702162436</v>
      </c>
      <c r="X63" s="7">
        <f>B63*'Distributor Payments'!$V$21</f>
        <v>11415.616948258821</v>
      </c>
      <c r="Y63" s="7">
        <v>0</v>
      </c>
      <c r="Z63" s="7">
        <f t="shared" si="0"/>
        <v>797619.48193395208</v>
      </c>
    </row>
    <row r="64" spans="1:26" customFormat="1" x14ac:dyDescent="0.35">
      <c r="A64" s="3" t="s">
        <v>22</v>
      </c>
      <c r="B64" s="6">
        <v>9.8756862459945536E-4</v>
      </c>
      <c r="C64" s="8" t="s">
        <v>89</v>
      </c>
      <c r="D64" s="33" t="s">
        <v>336</v>
      </c>
      <c r="E64" s="25">
        <v>7341.99</v>
      </c>
      <c r="F64" s="25">
        <v>8004.2</v>
      </c>
      <c r="G64" s="28">
        <v>8004.2</v>
      </c>
      <c r="H64" s="28">
        <v>16586.25</v>
      </c>
      <c r="I64" s="28">
        <v>7300.4</v>
      </c>
      <c r="J64" s="7">
        <f>$B64*'Distributor Payments'!H$21</f>
        <v>16586.252360909253</v>
      </c>
      <c r="K64" s="7">
        <f>$B64*'Distributor Payments'!I$21</f>
        <v>16586.252360750172</v>
      </c>
      <c r="L64" s="7">
        <f>$B64*'Distributor Payments'!J$21</f>
        <v>6319.3621491345484</v>
      </c>
      <c r="M64" s="7">
        <f>$B64*'Distributor Payments'!K$21</f>
        <v>19507.431122734393</v>
      </c>
      <c r="N64" s="7">
        <f>$B64*'Distributor Payments'!L$21</f>
        <v>19507.431122734393</v>
      </c>
      <c r="O64" s="7">
        <f>$B64*'Distributor Payments'!M$21</f>
        <v>19507.431122734393</v>
      </c>
      <c r="P64" s="7">
        <f>$B64*'Distributor Payments'!N$21</f>
        <v>16397.964575769445</v>
      </c>
      <c r="Q64" s="7">
        <f>$B64*'Distributor Payments'!O$21</f>
        <v>16397.964575769445</v>
      </c>
      <c r="R64" s="7">
        <f>$B64*'Distributor Payments'!P$21</f>
        <v>16397.964575769445</v>
      </c>
      <c r="S64" s="7">
        <f>$B64*'Distributor Payments'!Q$21</f>
        <v>16397.964575769445</v>
      </c>
      <c r="T64" s="7">
        <f>$B64*'Distributor Payments'!R$21</f>
        <v>16397.964575769445</v>
      </c>
      <c r="U64" s="7">
        <f>$B64*'Distributor Payments'!S$21</f>
        <v>16397.964575769445</v>
      </c>
      <c r="V64" s="7">
        <f>$B64*'Distributor Payments'!T$21</f>
        <v>16397.964575769445</v>
      </c>
      <c r="W64" s="7">
        <f>$B64*'Distributor Payments'!U$21</f>
        <v>16397.964575769445</v>
      </c>
      <c r="X64" s="7">
        <f>B64*'Distributor Payments'!$V$21</f>
        <v>4013.8127478214187</v>
      </c>
      <c r="Y64" s="7">
        <v>0</v>
      </c>
      <c r="Z64" s="7">
        <f t="shared" si="0"/>
        <v>280448.72959297412</v>
      </c>
    </row>
    <row r="65" spans="1:26" customFormat="1" x14ac:dyDescent="0.35">
      <c r="A65" s="3" t="s">
        <v>90</v>
      </c>
      <c r="B65" s="6">
        <v>1.8441863433863557E-4</v>
      </c>
      <c r="C65" s="8" t="s">
        <v>91</v>
      </c>
      <c r="D65" s="33" t="s">
        <v>336</v>
      </c>
      <c r="E65" s="25">
        <v>1371.04</v>
      </c>
      <c r="F65" s="25">
        <v>1494.7</v>
      </c>
      <c r="G65" s="28">
        <v>1494.7</v>
      </c>
      <c r="H65" s="28">
        <v>3097.32</v>
      </c>
      <c r="I65" s="28">
        <v>1363.28</v>
      </c>
      <c r="J65" s="7">
        <f>$B65*'Distributor Payments'!H$21</f>
        <v>3097.3179311315898</v>
      </c>
      <c r="K65" s="7">
        <f>$B65*'Distributor Payments'!I$21</f>
        <v>3097.3179311018826</v>
      </c>
      <c r="L65" s="7">
        <f>$B65*'Distributor Payments'!J$21</f>
        <v>1180.0781316916914</v>
      </c>
      <c r="M65" s="7">
        <f>$B65*'Distributor Payments'!K$21</f>
        <v>3642.8190583401579</v>
      </c>
      <c r="N65" s="7">
        <f>$B65*'Distributor Payments'!L$21</f>
        <v>3642.8190583401579</v>
      </c>
      <c r="O65" s="7">
        <f>$B65*'Distributor Payments'!M$21</f>
        <v>3642.8190583401579</v>
      </c>
      <c r="P65" s="7">
        <f>$B65*'Distributor Payments'!N$21</f>
        <v>3062.1570569065566</v>
      </c>
      <c r="Q65" s="7">
        <f>$B65*'Distributor Payments'!O$21</f>
        <v>3062.1570569065566</v>
      </c>
      <c r="R65" s="7">
        <f>$B65*'Distributor Payments'!P$21</f>
        <v>3062.1570569065566</v>
      </c>
      <c r="S65" s="7">
        <f>$B65*'Distributor Payments'!Q$21</f>
        <v>3062.1570569065566</v>
      </c>
      <c r="T65" s="7">
        <f>$B65*'Distributor Payments'!R$21</f>
        <v>3062.1570569065566</v>
      </c>
      <c r="U65" s="7">
        <f>$B65*'Distributor Payments'!S$21</f>
        <v>3062.1570569065566</v>
      </c>
      <c r="V65" s="7">
        <f>$B65*'Distributor Payments'!T$21</f>
        <v>3062.1570569065566</v>
      </c>
      <c r="W65" s="7">
        <f>$B65*'Distributor Payments'!U$21</f>
        <v>3062.1570569065566</v>
      </c>
      <c r="X65" s="7">
        <f>B65*'Distributor Payments'!$V$21</f>
        <v>749.53967451573953</v>
      </c>
      <c r="Y65" s="7">
        <v>0</v>
      </c>
      <c r="Z65" s="7">
        <f t="shared" si="0"/>
        <v>52371.007298713848</v>
      </c>
    </row>
    <row r="66" spans="1:26" customFormat="1" x14ac:dyDescent="0.35">
      <c r="A66" s="3" t="s">
        <v>92</v>
      </c>
      <c r="B66" s="6">
        <v>3.801156479165682E-4</v>
      </c>
      <c r="C66" s="8" t="s">
        <v>93</v>
      </c>
      <c r="D66" s="33" t="s">
        <v>336</v>
      </c>
      <c r="E66" s="25">
        <v>2825.93</v>
      </c>
      <c r="F66" s="29">
        <v>3080.82</v>
      </c>
      <c r="G66" s="28">
        <v>3080.82</v>
      </c>
      <c r="H66" s="28">
        <v>6384.06</v>
      </c>
      <c r="I66" s="28">
        <v>2809.93</v>
      </c>
      <c r="J66" s="7">
        <f>$B66*'Distributor Payments'!H$21</f>
        <v>6384.056667689124</v>
      </c>
      <c r="K66" s="7">
        <f>$B66*'Distributor Payments'!I$21</f>
        <v>6384.0566676278931</v>
      </c>
      <c r="L66" s="7">
        <f>$B66*'Distributor Payments'!J$21</f>
        <v>2432.3255902464207</v>
      </c>
      <c r="M66" s="7">
        <f>$B66*'Distributor Payments'!K$21</f>
        <v>7508.4198056752448</v>
      </c>
      <c r="N66" s="7">
        <f>$B66*'Distributor Payments'!L$21</f>
        <v>7508.4198056752448</v>
      </c>
      <c r="O66" s="7">
        <f>$B66*'Distributor Payments'!M$21</f>
        <v>7508.4198056752448</v>
      </c>
      <c r="P66" s="7">
        <f>$B66*'Distributor Payments'!N$21</f>
        <v>6311.5846068516066</v>
      </c>
      <c r="Q66" s="7">
        <f>$B66*'Distributor Payments'!O$21</f>
        <v>6311.5846068516066</v>
      </c>
      <c r="R66" s="7">
        <f>$B66*'Distributor Payments'!P$21</f>
        <v>6311.5846068516066</v>
      </c>
      <c r="S66" s="7">
        <f>$B66*'Distributor Payments'!Q$21</f>
        <v>6311.5846068516066</v>
      </c>
      <c r="T66" s="7">
        <f>$B66*'Distributor Payments'!R$21</f>
        <v>6311.5846068516066</v>
      </c>
      <c r="U66" s="7">
        <f>$B66*'Distributor Payments'!S$21</f>
        <v>6311.5846068516066</v>
      </c>
      <c r="V66" s="7">
        <f>$B66*'Distributor Payments'!T$21</f>
        <v>6311.5846068516066</v>
      </c>
      <c r="W66" s="7">
        <f>$B66*'Distributor Payments'!U$21</f>
        <v>6311.5846068516066</v>
      </c>
      <c r="X66" s="7">
        <f>B66*'Distributor Payments'!$V$21</f>
        <v>1544.9184950288679</v>
      </c>
      <c r="Y66" s="7">
        <v>0</v>
      </c>
      <c r="Z66" s="7">
        <f t="shared" si="0"/>
        <v>107944.85369243092</v>
      </c>
    </row>
    <row r="67" spans="1:26" customFormat="1" x14ac:dyDescent="0.35">
      <c r="A67" s="3" t="s">
        <v>94</v>
      </c>
      <c r="B67" s="6">
        <v>2.69750248532E-3</v>
      </c>
      <c r="C67" s="8" t="s">
        <v>94</v>
      </c>
      <c r="D67" s="33" t="s">
        <v>336</v>
      </c>
      <c r="E67" s="25">
        <v>19455.900000000001</v>
      </c>
      <c r="F67" s="25">
        <v>21210.73</v>
      </c>
      <c r="G67" s="28">
        <v>21210.73</v>
      </c>
      <c r="H67" s="28">
        <v>45304.66</v>
      </c>
      <c r="I67" s="28">
        <v>19940.73</v>
      </c>
      <c r="J67" s="7">
        <f>$B67*'Distributor Payments'!H$21</f>
        <v>45304.656153737131</v>
      </c>
      <c r="K67" s="7">
        <f>$B67*'Distributor Payments'!I$21</f>
        <v>45304.656153302603</v>
      </c>
      <c r="L67" s="7">
        <f>$B67*'Distributor Payments'!J$21</f>
        <v>17261.073993558082</v>
      </c>
      <c r="M67" s="7">
        <f>$B67*'Distributor Payments'!K$21</f>
        <v>53283.734036333175</v>
      </c>
      <c r="N67" s="7">
        <f>$B67*'Distributor Payments'!L$21</f>
        <v>53283.734036333175</v>
      </c>
      <c r="O67" s="7">
        <f>$B67*'Distributor Payments'!M$21</f>
        <v>53283.734036333175</v>
      </c>
      <c r="P67" s="7">
        <f>$B67*'Distributor Payments'!N$21</f>
        <v>44790.355926169614</v>
      </c>
      <c r="Q67" s="7">
        <f>$B67*'Distributor Payments'!O$21</f>
        <v>44790.355926169614</v>
      </c>
      <c r="R67" s="7">
        <f>$B67*'Distributor Payments'!P$21</f>
        <v>44790.355926169614</v>
      </c>
      <c r="S67" s="7">
        <f>$B67*'Distributor Payments'!Q$21</f>
        <v>44790.355926169614</v>
      </c>
      <c r="T67" s="7">
        <f>$B67*'Distributor Payments'!R$21</f>
        <v>44790.355926169614</v>
      </c>
      <c r="U67" s="7">
        <f>$B67*'Distributor Payments'!S$21</f>
        <v>44790.355926169614</v>
      </c>
      <c r="V67" s="7">
        <f>$B67*'Distributor Payments'!T$21</f>
        <v>44790.355926169614</v>
      </c>
      <c r="W67" s="7">
        <f>$B67*'Distributor Payments'!U$21</f>
        <v>44790.355926169614</v>
      </c>
      <c r="X67" s="7">
        <f>B67*'Distributor Payments'!$V$21</f>
        <v>10963.562018030667</v>
      </c>
      <c r="Y67" s="7">
        <v>0</v>
      </c>
      <c r="Z67" s="7">
        <f t="shared" si="0"/>
        <v>764130.74783698516</v>
      </c>
    </row>
    <row r="68" spans="1:26" customFormat="1" x14ac:dyDescent="0.35">
      <c r="A68" s="3" t="s">
        <v>22</v>
      </c>
      <c r="B68" s="6">
        <v>7.3863551292320001E-2</v>
      </c>
      <c r="C68" s="8" t="s">
        <v>95</v>
      </c>
      <c r="D68" s="33" t="s">
        <v>336</v>
      </c>
      <c r="E68" s="25">
        <v>532745.37</v>
      </c>
      <c r="F68" s="25">
        <v>580796.47</v>
      </c>
      <c r="G68" s="28">
        <v>580796.47</v>
      </c>
      <c r="H68" s="28">
        <v>1240541.1299999999</v>
      </c>
      <c r="I68" s="28">
        <v>546021.17000000004</v>
      </c>
      <c r="J68" s="7">
        <f>$B68*'Distributor Payments'!H$21</f>
        <v>1240541.1345508031</v>
      </c>
      <c r="K68" s="7">
        <f>$B68*'Distributor Payments'!I$21</f>
        <v>1240541.1345389048</v>
      </c>
      <c r="L68" s="7">
        <f>$B68*'Distributor Payments'!J$21</f>
        <v>472646.17223604204</v>
      </c>
      <c r="M68" s="7">
        <f>$B68*'Distributor Payments'!K$21</f>
        <v>1459025.8372170301</v>
      </c>
      <c r="N68" s="7">
        <f>$B68*'Distributor Payments'!L$21</f>
        <v>1459025.8372170301</v>
      </c>
      <c r="O68" s="7">
        <f>$B68*'Distributor Payments'!M$21</f>
        <v>1459025.8372170301</v>
      </c>
      <c r="P68" s="7">
        <f>$B68*'Distributor Payments'!N$21</f>
        <v>1226458.4630999633</v>
      </c>
      <c r="Q68" s="7">
        <f>$B68*'Distributor Payments'!O$21</f>
        <v>1226458.4630999633</v>
      </c>
      <c r="R68" s="7">
        <f>$B68*'Distributor Payments'!P$21</f>
        <v>1226458.4630999633</v>
      </c>
      <c r="S68" s="7">
        <f>$B68*'Distributor Payments'!Q$21</f>
        <v>1226458.4630999633</v>
      </c>
      <c r="T68" s="7">
        <f>$B68*'Distributor Payments'!R$21</f>
        <v>1226458.4630999633</v>
      </c>
      <c r="U68" s="7">
        <f>$B68*'Distributor Payments'!S$21</f>
        <v>1226458.4630999633</v>
      </c>
      <c r="V68" s="7">
        <f>$B68*'Distributor Payments'!T$21</f>
        <v>1226458.4630999633</v>
      </c>
      <c r="W68" s="7">
        <f>$B68*'Distributor Payments'!U$21</f>
        <v>1226458.4630999633</v>
      </c>
      <c r="X68" s="7">
        <f>B68*'Distributor Payments'!$V$21</f>
        <v>300206.4427641384</v>
      </c>
      <c r="Y68" s="7">
        <v>0</v>
      </c>
      <c r="Z68" s="7">
        <f t="shared" ref="Z68:Z131" si="1">SUM(E68:Y68)</f>
        <v>20923580.71054069</v>
      </c>
    </row>
    <row r="69" spans="1:26" customFormat="1" ht="36" x14ac:dyDescent="0.35">
      <c r="A69" s="3" t="s">
        <v>22</v>
      </c>
      <c r="B69" s="6">
        <v>0</v>
      </c>
      <c r="C69" s="8" t="s">
        <v>96</v>
      </c>
      <c r="D69" s="8" t="s">
        <v>336</v>
      </c>
      <c r="E69" s="25">
        <v>0</v>
      </c>
      <c r="F69" s="26">
        <v>0</v>
      </c>
      <c r="G69" s="28">
        <v>0</v>
      </c>
      <c r="H69" s="28">
        <v>0</v>
      </c>
      <c r="I69" s="26">
        <v>0</v>
      </c>
      <c r="J69" s="7">
        <f>$B69*'Distributor Payments'!H$21</f>
        <v>0</v>
      </c>
      <c r="K69" s="7">
        <f>$B69*'Distributor Payments'!I$21</f>
        <v>0</v>
      </c>
      <c r="L69" s="7">
        <f>$B69*'Distributor Payments'!J$21</f>
        <v>0</v>
      </c>
      <c r="M69" s="7">
        <f>$B69*'Distributor Payments'!K$21</f>
        <v>0</v>
      </c>
      <c r="N69" s="7">
        <f>$B69*'Distributor Payments'!L$21</f>
        <v>0</v>
      </c>
      <c r="O69" s="7">
        <f>$B69*'Distributor Payments'!M$21</f>
        <v>0</v>
      </c>
      <c r="P69" s="7">
        <f>$B69*'Distributor Payments'!N$21</f>
        <v>0</v>
      </c>
      <c r="Q69" s="7">
        <f>$B69*'Distributor Payments'!O$21</f>
        <v>0</v>
      </c>
      <c r="R69" s="7">
        <f>$B69*'Distributor Payments'!P$21</f>
        <v>0</v>
      </c>
      <c r="S69" s="7">
        <f>$B69*'Distributor Payments'!Q$21</f>
        <v>0</v>
      </c>
      <c r="T69" s="7">
        <f>$B69*'Distributor Payments'!R$21</f>
        <v>0</v>
      </c>
      <c r="U69" s="7">
        <f>$B69*'Distributor Payments'!S$21</f>
        <v>0</v>
      </c>
      <c r="V69" s="7">
        <f>$B69*'Distributor Payments'!T$21</f>
        <v>0</v>
      </c>
      <c r="W69" s="7">
        <f>$B69*'Distributor Payments'!U$21</f>
        <v>0</v>
      </c>
      <c r="X69" s="7">
        <f>B69*'Distributor Payments'!$V$21</f>
        <v>0</v>
      </c>
      <c r="Y69" s="7">
        <v>0</v>
      </c>
      <c r="Z69" s="7">
        <f t="shared" si="1"/>
        <v>0</v>
      </c>
    </row>
    <row r="70" spans="1:26" customFormat="1" x14ac:dyDescent="0.35">
      <c r="A70" s="3" t="s">
        <v>40</v>
      </c>
      <c r="B70" s="6">
        <v>3.4465051800101594E-4</v>
      </c>
      <c r="C70" s="8" t="s">
        <v>97</v>
      </c>
      <c r="D70" s="33" t="s">
        <v>336</v>
      </c>
      <c r="E70" s="25">
        <v>2562.27</v>
      </c>
      <c r="F70" s="29">
        <v>2793.38</v>
      </c>
      <c r="G70" s="28">
        <v>2793.38</v>
      </c>
      <c r="H70" s="28">
        <v>5788.42</v>
      </c>
      <c r="I70" s="28">
        <v>2547.7600000000002</v>
      </c>
      <c r="J70" s="7">
        <f>$B70*'Distributor Payments'!H$21</f>
        <v>5788.4184708697767</v>
      </c>
      <c r="K70" s="7">
        <f>$B70*'Distributor Payments'!I$21</f>
        <v>5788.4184708142593</v>
      </c>
      <c r="L70" s="7">
        <f>$B70*'Distributor Payments'!J$21</f>
        <v>2205.3874372716041</v>
      </c>
      <c r="M70" s="7">
        <f>$B70*'Distributor Payments'!K$21</f>
        <v>6807.8775224824576</v>
      </c>
      <c r="N70" s="7">
        <f>$B70*'Distributor Payments'!L$21</f>
        <v>6807.8775224824576</v>
      </c>
      <c r="O70" s="7">
        <f>$B70*'Distributor Payments'!M$21</f>
        <v>6807.8775224824576</v>
      </c>
      <c r="P70" s="7">
        <f>$B70*'Distributor Payments'!N$21</f>
        <v>5722.7081181254098</v>
      </c>
      <c r="Q70" s="7">
        <f>$B70*'Distributor Payments'!O$21</f>
        <v>5722.7081181254098</v>
      </c>
      <c r="R70" s="7">
        <f>$B70*'Distributor Payments'!P$21</f>
        <v>5722.7081181254098</v>
      </c>
      <c r="S70" s="7">
        <f>$B70*'Distributor Payments'!Q$21</f>
        <v>5722.7081181254098</v>
      </c>
      <c r="T70" s="7">
        <f>$B70*'Distributor Payments'!R$21</f>
        <v>5722.7081181254098</v>
      </c>
      <c r="U70" s="7">
        <f>$B70*'Distributor Payments'!S$21</f>
        <v>5722.7081181254098</v>
      </c>
      <c r="V70" s="7">
        <f>$B70*'Distributor Payments'!T$21</f>
        <v>5722.7081181254098</v>
      </c>
      <c r="W70" s="7">
        <f>$B70*'Distributor Payments'!U$21</f>
        <v>5722.7081181254098</v>
      </c>
      <c r="X70" s="7">
        <f>B70*'Distributor Payments'!$V$21</f>
        <v>1400.7762177102443</v>
      </c>
      <c r="Y70" s="7">
        <v>0</v>
      </c>
      <c r="Z70" s="7">
        <f t="shared" si="1"/>
        <v>97873.508109116505</v>
      </c>
    </row>
    <row r="71" spans="1:26" customFormat="1" x14ac:dyDescent="0.35">
      <c r="A71" s="3" t="s">
        <v>98</v>
      </c>
      <c r="B71" s="6">
        <v>2.7729291699199999E-3</v>
      </c>
      <c r="C71" s="8" t="s">
        <v>98</v>
      </c>
      <c r="D71" s="33" t="s">
        <v>336</v>
      </c>
      <c r="E71" s="25">
        <v>19999.919999999998</v>
      </c>
      <c r="F71" s="25">
        <v>21803.82</v>
      </c>
      <c r="G71" s="28">
        <v>21803.82</v>
      </c>
      <c r="H71" s="28">
        <v>46571.45</v>
      </c>
      <c r="I71" s="28">
        <v>20498.310000000001</v>
      </c>
      <c r="J71" s="7">
        <f>$B71*'Distributor Payments'!H$21</f>
        <v>46571.450171246259</v>
      </c>
      <c r="K71" s="7">
        <f>$B71*'Distributor Payments'!I$21</f>
        <v>46571.450170799581</v>
      </c>
      <c r="L71" s="7">
        <f>$B71*'Distributor Payments'!J$21</f>
        <v>17743.722514200654</v>
      </c>
      <c r="M71" s="7">
        <f>$B71*'Distributor Payments'!K$21</f>
        <v>54773.636426911333</v>
      </c>
      <c r="N71" s="7">
        <f>$B71*'Distributor Payments'!L$21</f>
        <v>54773.636426911333</v>
      </c>
      <c r="O71" s="7">
        <f>$B71*'Distributor Payments'!M$21</f>
        <v>54773.636426911333</v>
      </c>
      <c r="P71" s="7">
        <f>$B71*'Distributor Payments'!N$21</f>
        <v>46042.76924847436</v>
      </c>
      <c r="Q71" s="7">
        <f>$B71*'Distributor Payments'!O$21</f>
        <v>46042.76924847436</v>
      </c>
      <c r="R71" s="7">
        <f>$B71*'Distributor Payments'!P$21</f>
        <v>46042.76924847436</v>
      </c>
      <c r="S71" s="7">
        <f>$B71*'Distributor Payments'!Q$21</f>
        <v>46042.76924847436</v>
      </c>
      <c r="T71" s="7">
        <f>$B71*'Distributor Payments'!R$21</f>
        <v>46042.76924847436</v>
      </c>
      <c r="U71" s="7">
        <f>$B71*'Distributor Payments'!S$21</f>
        <v>46042.76924847436</v>
      </c>
      <c r="V71" s="7">
        <f>$B71*'Distributor Payments'!T$21</f>
        <v>46042.76924847436</v>
      </c>
      <c r="W71" s="7">
        <f>$B71*'Distributor Payments'!U$21</f>
        <v>46042.76924847436</v>
      </c>
      <c r="X71" s="7">
        <f>B71*'Distributor Payments'!$V$21</f>
        <v>11270.121562990063</v>
      </c>
      <c r="Y71" s="7">
        <v>0</v>
      </c>
      <c r="Z71" s="7">
        <f t="shared" si="1"/>
        <v>785497.12768776563</v>
      </c>
    </row>
    <row r="72" spans="1:26" customFormat="1" x14ac:dyDescent="0.35">
      <c r="A72" s="3" t="s">
        <v>99</v>
      </c>
      <c r="B72" s="6">
        <v>1.3728559521271894E-5</v>
      </c>
      <c r="C72" s="8" t="s">
        <v>100</v>
      </c>
      <c r="D72" s="33" t="s">
        <v>338</v>
      </c>
      <c r="E72" s="25">
        <v>3679.1</v>
      </c>
      <c r="F72" s="48">
        <v>111.27</v>
      </c>
      <c r="G72" s="49">
        <v>111.27</v>
      </c>
      <c r="H72" s="28">
        <v>0</v>
      </c>
      <c r="I72" s="28">
        <v>0</v>
      </c>
      <c r="J72" s="49">
        <f>$B$72*'Distributor Payments'!H$21</f>
        <v>230.57167583056159</v>
      </c>
      <c r="K72" s="49">
        <f>$B$72*'Distributor Payments'!I$21</f>
        <v>230.57167582835012</v>
      </c>
      <c r="L72" s="49">
        <f>$B$72*'Distributor Payments'!J$21</f>
        <v>87.84780848627436</v>
      </c>
      <c r="M72" s="49">
        <f>$B$72*'Distributor Payments'!K$21</f>
        <v>271.18007053351926</v>
      </c>
      <c r="N72" s="49">
        <f>$B$72*'Distributor Payments'!L$21</f>
        <v>271.18007053351926</v>
      </c>
      <c r="O72" s="49">
        <f>$B$72*'Distributor Payments'!M$21</f>
        <v>271.18007053351926</v>
      </c>
      <c r="P72" s="49">
        <f>$B$72*'Distributor Payments'!N$21</f>
        <v>227.95421715373419</v>
      </c>
      <c r="Q72" s="49">
        <f>$B$72*'Distributor Payments'!O$21</f>
        <v>227.95421715373419</v>
      </c>
      <c r="R72" s="49">
        <f>$B$72*'Distributor Payments'!P$21</f>
        <v>227.95421715373419</v>
      </c>
      <c r="S72" s="49">
        <f>$B$72*'Distributor Payments'!Q$21</f>
        <v>227.95421715373419</v>
      </c>
      <c r="T72" s="49">
        <f>$B$72*'Distributor Payments'!R$21</f>
        <v>227.95421715373419</v>
      </c>
      <c r="U72" s="49">
        <f>$B$72*'Distributor Payments'!S$21</f>
        <v>227.95421715373419</v>
      </c>
      <c r="V72" s="49">
        <f>$B$72*'Distributor Payments'!T$21</f>
        <v>227.95421715373419</v>
      </c>
      <c r="W72" s="49">
        <f>$B$72*'Distributor Payments'!U$21</f>
        <v>227.95421715373419</v>
      </c>
      <c r="X72" s="49">
        <f>$B$72*'Distributor Payments'!V$21</f>
        <v>55.79750697128074</v>
      </c>
      <c r="Y72" s="7">
        <v>0</v>
      </c>
      <c r="Z72" s="7">
        <f>E72</f>
        <v>3679.1</v>
      </c>
    </row>
    <row r="73" spans="1:26" customFormat="1" x14ac:dyDescent="0.35">
      <c r="A73" s="3" t="s">
        <v>14</v>
      </c>
      <c r="B73" s="6">
        <v>1.9435501302984649E-4</v>
      </c>
      <c r="C73" s="8" t="s">
        <v>101</v>
      </c>
      <c r="D73" s="33" t="s">
        <v>336</v>
      </c>
      <c r="E73" s="25">
        <v>1444.91</v>
      </c>
      <c r="F73" s="25">
        <v>1575.24</v>
      </c>
      <c r="G73" s="28">
        <v>1575.24</v>
      </c>
      <c r="H73" s="28">
        <v>3264.2</v>
      </c>
      <c r="I73" s="28">
        <v>1436.73</v>
      </c>
      <c r="J73" s="7">
        <f>$B73*'Distributor Payments'!H$21</f>
        <v>3264.1997866510778</v>
      </c>
      <c r="K73" s="7">
        <f>$B73*'Distributor Payments'!I$21</f>
        <v>3264.1997866197698</v>
      </c>
      <c r="L73" s="7">
        <f>$B73*'Distributor Payments'!J$21</f>
        <v>1243.6601186408745</v>
      </c>
      <c r="M73" s="7">
        <f>$B73*'Distributor Payments'!K$21</f>
        <v>3839.0922267053629</v>
      </c>
      <c r="N73" s="7">
        <f>$B73*'Distributor Payments'!L$21</f>
        <v>3839.0922267053629</v>
      </c>
      <c r="O73" s="7">
        <f>$B73*'Distributor Payments'!M$21</f>
        <v>3839.0922267053629</v>
      </c>
      <c r="P73" s="7">
        <f>$B73*'Distributor Payments'!N$21</f>
        <v>3227.1444630789551</v>
      </c>
      <c r="Q73" s="7">
        <f>$B73*'Distributor Payments'!O$21</f>
        <v>3227.1444630789551</v>
      </c>
      <c r="R73" s="7">
        <f>$B73*'Distributor Payments'!P$21</f>
        <v>3227.1444630789551</v>
      </c>
      <c r="S73" s="7">
        <f>$B73*'Distributor Payments'!Q$21</f>
        <v>3227.1444630789551</v>
      </c>
      <c r="T73" s="7">
        <f>$B73*'Distributor Payments'!R$21</f>
        <v>3227.1444630789551</v>
      </c>
      <c r="U73" s="7">
        <f>$B73*'Distributor Payments'!S$21</f>
        <v>3227.1444630789551</v>
      </c>
      <c r="V73" s="7">
        <f>$B73*'Distributor Payments'!T$21</f>
        <v>3227.1444630789551</v>
      </c>
      <c r="W73" s="7">
        <f>$B73*'Distributor Payments'!U$21</f>
        <v>3227.1444630789551</v>
      </c>
      <c r="X73" s="7">
        <f>B73*'Distributor Payments'!$V$21</f>
        <v>789.92447660900098</v>
      </c>
      <c r="Y73" s="7">
        <v>0</v>
      </c>
      <c r="Z73" s="7">
        <f t="shared" si="1"/>
        <v>55192.736553268449</v>
      </c>
    </row>
    <row r="74" spans="1:26" customFormat="1" x14ac:dyDescent="0.35">
      <c r="A74" s="3" t="s">
        <v>102</v>
      </c>
      <c r="B74" s="6">
        <v>1.9287731411200004E-3</v>
      </c>
      <c r="C74" s="8" t="s">
        <v>103</v>
      </c>
      <c r="D74" s="33" t="s">
        <v>336</v>
      </c>
      <c r="E74" s="25">
        <v>13911.39</v>
      </c>
      <c r="F74" s="25">
        <v>15166.14</v>
      </c>
      <c r="G74" s="28">
        <v>15166.14</v>
      </c>
      <c r="H74" s="28">
        <v>32393.82</v>
      </c>
      <c r="I74" s="28">
        <v>14258.06</v>
      </c>
      <c r="J74" s="7">
        <f>$B74*'Distributor Payments'!H$21</f>
        <v>32393.817774977546</v>
      </c>
      <c r="K74" s="7">
        <f>$B74*'Distributor Payments'!I$21</f>
        <v>32393.817774666852</v>
      </c>
      <c r="L74" s="7">
        <f>$B74*'Distributor Payments'!J$21</f>
        <v>12342.044571540149</v>
      </c>
      <c r="M74" s="7">
        <f>$B74*'Distributor Payments'!K$21</f>
        <v>38099.0325781551</v>
      </c>
      <c r="N74" s="7">
        <f>$B74*'Distributor Payments'!L$21</f>
        <v>38099.0325781551</v>
      </c>
      <c r="O74" s="7">
        <f>$B74*'Distributor Payments'!M$21</f>
        <v>38099.0325781551</v>
      </c>
      <c r="P74" s="7">
        <f>$B74*'Distributor Payments'!N$21</f>
        <v>32026.081889356497</v>
      </c>
      <c r="Q74" s="7">
        <f>$B74*'Distributor Payments'!O$21</f>
        <v>32026.081889356497</v>
      </c>
      <c r="R74" s="7">
        <f>$B74*'Distributor Payments'!P$21</f>
        <v>32026.081889356497</v>
      </c>
      <c r="S74" s="7">
        <f>$B74*'Distributor Payments'!Q$21</f>
        <v>32026.081889356497</v>
      </c>
      <c r="T74" s="7">
        <f>$B74*'Distributor Payments'!R$21</f>
        <v>32026.081889356497</v>
      </c>
      <c r="U74" s="7">
        <f>$B74*'Distributor Payments'!S$21</f>
        <v>32026.081889356497</v>
      </c>
      <c r="V74" s="7">
        <f>$B74*'Distributor Payments'!T$21</f>
        <v>32026.081889356497</v>
      </c>
      <c r="W74" s="7">
        <f>$B74*'Distributor Payments'!U$21</f>
        <v>32026.081889356497</v>
      </c>
      <c r="X74" s="7">
        <f>B74*'Distributor Payments'!$V$21</f>
        <v>7839.1860865597691</v>
      </c>
      <c r="Y74" s="7">
        <v>0</v>
      </c>
      <c r="Z74" s="7">
        <f t="shared" si="1"/>
        <v>546370.16905706155</v>
      </c>
    </row>
    <row r="75" spans="1:26" customFormat="1" x14ac:dyDescent="0.35">
      <c r="A75" s="3" t="s">
        <v>75</v>
      </c>
      <c r="B75" s="6">
        <v>1.5721028667612497E-3</v>
      </c>
      <c r="C75" s="8" t="s">
        <v>104</v>
      </c>
      <c r="D75" s="33" t="s">
        <v>336</v>
      </c>
      <c r="E75" s="25">
        <v>11687.65</v>
      </c>
      <c r="F75" s="25">
        <v>12741.82</v>
      </c>
      <c r="G75" s="28">
        <v>12741.82</v>
      </c>
      <c r="H75" s="28">
        <v>26403.53</v>
      </c>
      <c r="I75" s="28">
        <v>11621.45</v>
      </c>
      <c r="J75" s="7">
        <f>$B75*'Distributor Payments'!H$21</f>
        <v>26403.527041968122</v>
      </c>
      <c r="K75" s="7">
        <f>$B75*'Distributor Payments'!I$21</f>
        <v>26403.527041714882</v>
      </c>
      <c r="L75" s="7">
        <f>$B75*'Distributor Payments'!J$21</f>
        <v>10059.743802397867</v>
      </c>
      <c r="M75" s="7">
        <f>$B75*'Distributor Payments'!K$21</f>
        <v>31053.728953404901</v>
      </c>
      <c r="N75" s="7">
        <f>$B75*'Distributor Payments'!L$21</f>
        <v>31053.728953404901</v>
      </c>
      <c r="O75" s="7">
        <f>$B75*'Distributor Payments'!M$21</f>
        <v>31053.728953404901</v>
      </c>
      <c r="P75" s="7">
        <f>$B75*'Distributor Payments'!N$21</f>
        <v>26103.79317090222</v>
      </c>
      <c r="Q75" s="7">
        <f>$B75*'Distributor Payments'!O$21</f>
        <v>26103.79317090222</v>
      </c>
      <c r="R75" s="7">
        <f>$B75*'Distributor Payments'!P$21</f>
        <v>26103.79317090222</v>
      </c>
      <c r="S75" s="7">
        <f>$B75*'Distributor Payments'!Q$21</f>
        <v>26103.79317090222</v>
      </c>
      <c r="T75" s="7">
        <f>$B75*'Distributor Payments'!R$21</f>
        <v>26103.79317090222</v>
      </c>
      <c r="U75" s="7">
        <f>$B75*'Distributor Payments'!S$21</f>
        <v>26103.79317090222</v>
      </c>
      <c r="V75" s="7">
        <f>$B75*'Distributor Payments'!T$21</f>
        <v>26103.79317090222</v>
      </c>
      <c r="W75" s="7">
        <f>$B75*'Distributor Payments'!U$21</f>
        <v>26103.79317090222</v>
      </c>
      <c r="X75" s="7">
        <f>B75*'Distributor Payments'!$V$21</f>
        <v>6389.5575156128562</v>
      </c>
      <c r="Y75" s="7">
        <v>0</v>
      </c>
      <c r="Z75" s="7">
        <f t="shared" si="1"/>
        <v>446444.15762912633</v>
      </c>
    </row>
    <row r="76" spans="1:26" customFormat="1" x14ac:dyDescent="0.35">
      <c r="A76" s="3" t="s">
        <v>92</v>
      </c>
      <c r="B76" s="6">
        <v>1.0040382409120001E-2</v>
      </c>
      <c r="C76" s="8" t="s">
        <v>92</v>
      </c>
      <c r="D76" s="33" t="s">
        <v>336</v>
      </c>
      <c r="E76" s="25">
        <v>72416.87</v>
      </c>
      <c r="F76" s="25">
        <v>78948.53</v>
      </c>
      <c r="G76" s="28">
        <v>78948.53</v>
      </c>
      <c r="H76" s="28">
        <v>168628.6</v>
      </c>
      <c r="I76" s="28">
        <v>74221.47</v>
      </c>
      <c r="J76" s="7">
        <f>$B76*'Distributor Payments'!H$21</f>
        <v>168628.60189107532</v>
      </c>
      <c r="K76" s="7">
        <f>$B76*'Distributor Payments'!I$21</f>
        <v>168628.60188945796</v>
      </c>
      <c r="L76" s="7">
        <f>$B76*'Distributor Payments'!J$21</f>
        <v>64247.497316718902</v>
      </c>
      <c r="M76" s="7">
        <f>$B76*'Distributor Payments'!K$21</f>
        <v>198327.55254984074</v>
      </c>
      <c r="N76" s="7">
        <f>$B76*'Distributor Payments'!L$21</f>
        <v>198327.55254984074</v>
      </c>
      <c r="O76" s="7">
        <f>$B76*'Distributor Payments'!M$21</f>
        <v>198327.55254984074</v>
      </c>
      <c r="P76" s="7">
        <f>$B76*'Distributor Payments'!N$21</f>
        <v>166714.32341089711</v>
      </c>
      <c r="Q76" s="7">
        <f>$B76*'Distributor Payments'!O$21</f>
        <v>166714.32341089711</v>
      </c>
      <c r="R76" s="7">
        <f>$B76*'Distributor Payments'!P$21</f>
        <v>166714.32341089711</v>
      </c>
      <c r="S76" s="7">
        <f>$B76*'Distributor Payments'!Q$21</f>
        <v>166714.32341089711</v>
      </c>
      <c r="T76" s="7">
        <f>$B76*'Distributor Payments'!R$21</f>
        <v>166714.32341089711</v>
      </c>
      <c r="U76" s="7">
        <f>$B76*'Distributor Payments'!S$21</f>
        <v>166714.32341089711</v>
      </c>
      <c r="V76" s="7">
        <f>$B76*'Distributor Payments'!T$21</f>
        <v>166714.32341089711</v>
      </c>
      <c r="W76" s="7">
        <f>$B76*'Distributor Payments'!U$21</f>
        <v>166714.32341089711</v>
      </c>
      <c r="X76" s="7">
        <f>B76*'Distributor Payments'!$V$21</f>
        <v>40807.508362340908</v>
      </c>
      <c r="Y76" s="7">
        <v>0</v>
      </c>
      <c r="Z76" s="7">
        <f t="shared" si="1"/>
        <v>2844173.4543962916</v>
      </c>
    </row>
    <row r="77" spans="1:26" customFormat="1" x14ac:dyDescent="0.35">
      <c r="A77" s="3" t="s">
        <v>105</v>
      </c>
      <c r="B77" s="6">
        <v>5.5491843949711542E-5</v>
      </c>
      <c r="C77" s="8" t="s">
        <v>106</v>
      </c>
      <c r="D77" s="33" t="s">
        <v>336</v>
      </c>
      <c r="E77" s="25">
        <v>412.55</v>
      </c>
      <c r="F77" s="25">
        <v>449.76</v>
      </c>
      <c r="G77" s="28">
        <v>449.76</v>
      </c>
      <c r="H77" s="28">
        <v>931.99</v>
      </c>
      <c r="I77" s="28">
        <v>410.21</v>
      </c>
      <c r="J77" s="7">
        <f>$B77*'Distributor Payments'!H$21</f>
        <v>931.9876156408003</v>
      </c>
      <c r="K77" s="7">
        <f>$B77*'Distributor Payments'!I$21</f>
        <v>931.98761563186144</v>
      </c>
      <c r="L77" s="7">
        <f>$B77*'Distributor Payments'!J$21</f>
        <v>355.08728153824899</v>
      </c>
      <c r="M77" s="7">
        <f>$B77*'Distributor Payments'!K$21</f>
        <v>1096.1297238068616</v>
      </c>
      <c r="N77" s="7">
        <f>$B77*'Distributor Payments'!L$21</f>
        <v>1096.1297238068616</v>
      </c>
      <c r="O77" s="7">
        <f>$B77*'Distributor Payments'!M$21</f>
        <v>1096.1297238068616</v>
      </c>
      <c r="P77" s="7">
        <f>$B77*'Distributor Payments'!N$21</f>
        <v>921.40765579765218</v>
      </c>
      <c r="Q77" s="7">
        <f>$B77*'Distributor Payments'!O$21</f>
        <v>921.40765579765218</v>
      </c>
      <c r="R77" s="7">
        <f>$B77*'Distributor Payments'!P$21</f>
        <v>921.40765579765218</v>
      </c>
      <c r="S77" s="7">
        <f>$B77*'Distributor Payments'!Q$21</f>
        <v>921.40765579765218</v>
      </c>
      <c r="T77" s="7">
        <f>$B77*'Distributor Payments'!R$21</f>
        <v>921.40765579765218</v>
      </c>
      <c r="U77" s="7">
        <f>$B77*'Distributor Payments'!S$21</f>
        <v>921.40765579765218</v>
      </c>
      <c r="V77" s="7">
        <f>$B77*'Distributor Payments'!T$21</f>
        <v>921.40765579765218</v>
      </c>
      <c r="W77" s="7">
        <f>$B77*'Distributor Payments'!U$21</f>
        <v>921.40765579765218</v>
      </c>
      <c r="X77" s="7">
        <f>B77*'Distributor Payments'!$V$21</f>
        <v>225.53761338439335</v>
      </c>
      <c r="Y77" s="7">
        <v>0</v>
      </c>
      <c r="Z77" s="7">
        <f t="shared" si="1"/>
        <v>15758.520543997101</v>
      </c>
    </row>
    <row r="78" spans="1:26" customFormat="1" x14ac:dyDescent="0.35">
      <c r="A78" s="3" t="s">
        <v>107</v>
      </c>
      <c r="B78" s="6">
        <v>1.6995833481015016E-3</v>
      </c>
      <c r="C78" s="8" t="s">
        <v>107</v>
      </c>
      <c r="D78" s="33" t="s">
        <v>336</v>
      </c>
      <c r="E78" s="25">
        <v>12635.39</v>
      </c>
      <c r="F78" s="25">
        <v>13775.05</v>
      </c>
      <c r="G78" s="28">
        <v>13775.05</v>
      </c>
      <c r="H78" s="28">
        <v>28544.57</v>
      </c>
      <c r="I78" s="28">
        <v>12563.82</v>
      </c>
      <c r="J78" s="7">
        <f>$B78*'Distributor Payments'!H$21</f>
        <v>28544.566542344295</v>
      </c>
      <c r="K78" s="7">
        <f>$B78*'Distributor Payments'!I$21</f>
        <v>28544.566542070515</v>
      </c>
      <c r="L78" s="7">
        <f>$B78*'Distributor Payments'!J$21</f>
        <v>10875.479851993185</v>
      </c>
      <c r="M78" s="7">
        <f>$B78*'Distributor Payments'!K$21</f>
        <v>33571.849362755296</v>
      </c>
      <c r="N78" s="7">
        <f>$B78*'Distributor Payments'!L$21</f>
        <v>33571.849362755296</v>
      </c>
      <c r="O78" s="7">
        <f>$B78*'Distributor Payments'!M$21</f>
        <v>33571.849362755296</v>
      </c>
      <c r="P78" s="7">
        <f>$B78*'Distributor Payments'!N$21</f>
        <v>28220.527507179191</v>
      </c>
      <c r="Q78" s="7">
        <f>$B78*'Distributor Payments'!O$21</f>
        <v>28220.527507179191</v>
      </c>
      <c r="R78" s="7">
        <f>$B78*'Distributor Payments'!P$21</f>
        <v>28220.527507179191</v>
      </c>
      <c r="S78" s="7">
        <f>$B78*'Distributor Payments'!Q$21</f>
        <v>28220.527507179191</v>
      </c>
      <c r="T78" s="7">
        <f>$B78*'Distributor Payments'!R$21</f>
        <v>28220.527507179191</v>
      </c>
      <c r="U78" s="7">
        <f>$B78*'Distributor Payments'!S$21</f>
        <v>28220.527507179191</v>
      </c>
      <c r="V78" s="7">
        <f>$B78*'Distributor Payments'!T$21</f>
        <v>28220.527507179191</v>
      </c>
      <c r="W78" s="7">
        <f>$B78*'Distributor Payments'!U$21</f>
        <v>28220.527507179191</v>
      </c>
      <c r="X78" s="7">
        <f>B78*'Distributor Payments'!$V$21</f>
        <v>6907.6812878311621</v>
      </c>
      <c r="Y78" s="7">
        <v>0</v>
      </c>
      <c r="Z78" s="7">
        <f t="shared" si="1"/>
        <v>482645.94236993854</v>
      </c>
    </row>
    <row r="79" spans="1:26" customFormat="1" x14ac:dyDescent="0.35">
      <c r="A79" s="3" t="s">
        <v>42</v>
      </c>
      <c r="B79" s="6">
        <v>7.6288033195954122E-5</v>
      </c>
      <c r="C79" s="8" t="s">
        <v>108</v>
      </c>
      <c r="D79" s="33" t="s">
        <v>336</v>
      </c>
      <c r="E79" s="25">
        <v>567.16</v>
      </c>
      <c r="F79" s="29">
        <v>618.30999999999995</v>
      </c>
      <c r="G79" s="28">
        <v>618.30999999999995</v>
      </c>
      <c r="H79" s="28">
        <v>1281.26</v>
      </c>
      <c r="I79" s="28">
        <v>563.94000000000005</v>
      </c>
      <c r="J79" s="7">
        <f>$B79*'Distributor Payments'!H$21</f>
        <v>1281.2603997202925</v>
      </c>
      <c r="K79" s="7">
        <f>$B79*'Distributor Payments'!I$21</f>
        <v>1281.2603997080037</v>
      </c>
      <c r="L79" s="7">
        <f>$B79*'Distributor Payments'!J$21</f>
        <v>488.16021226470457</v>
      </c>
      <c r="M79" s="7">
        <f>$B79*'Distributor Payments'!K$21</f>
        <v>1506.9165989984112</v>
      </c>
      <c r="N79" s="7">
        <f>$B79*'Distributor Payments'!L$21</f>
        <v>1506.9165989984112</v>
      </c>
      <c r="O79" s="7">
        <f>$B79*'Distributor Payments'!M$21</f>
        <v>1506.9165989984112</v>
      </c>
      <c r="P79" s="7">
        <f>$B79*'Distributor Payments'!N$21</f>
        <v>1266.7154815795766</v>
      </c>
      <c r="Q79" s="7">
        <f>$B79*'Distributor Payments'!O$21</f>
        <v>1266.7154815795766</v>
      </c>
      <c r="R79" s="7">
        <f>$B79*'Distributor Payments'!P$21</f>
        <v>1266.7154815795766</v>
      </c>
      <c r="S79" s="7">
        <f>$B79*'Distributor Payments'!Q$21</f>
        <v>1266.7154815795766</v>
      </c>
      <c r="T79" s="7">
        <f>$B79*'Distributor Payments'!R$21</f>
        <v>1266.7154815795766</v>
      </c>
      <c r="U79" s="7">
        <f>$B79*'Distributor Payments'!S$21</f>
        <v>1266.7154815795766</v>
      </c>
      <c r="V79" s="7">
        <f>$B79*'Distributor Payments'!T$21</f>
        <v>1266.7154815795766</v>
      </c>
      <c r="W79" s="7">
        <f>$B79*'Distributor Payments'!U$21</f>
        <v>1266.7154815795766</v>
      </c>
      <c r="X79" s="7">
        <f>B79*'Distributor Payments'!$V$21</f>
        <v>310.06035684085975</v>
      </c>
      <c r="Y79" s="7">
        <v>0</v>
      </c>
      <c r="Z79" s="7">
        <f t="shared" si="1"/>
        <v>21664.195018165705</v>
      </c>
    </row>
    <row r="80" spans="1:26" customFormat="1" x14ac:dyDescent="0.35">
      <c r="A80" s="3" t="s">
        <v>94</v>
      </c>
      <c r="B80" s="6">
        <v>1.8748587811999998E-4</v>
      </c>
      <c r="C80" s="8" t="s">
        <v>109</v>
      </c>
      <c r="D80" s="33" t="s">
        <v>336</v>
      </c>
      <c r="E80" s="25">
        <v>1352.25</v>
      </c>
      <c r="F80" s="25">
        <v>1474.22</v>
      </c>
      <c r="G80" s="28">
        <v>1474.22</v>
      </c>
      <c r="H80" s="28">
        <v>3148.83</v>
      </c>
      <c r="I80" s="28">
        <v>1385.95</v>
      </c>
      <c r="J80" s="7">
        <f>$B80*'Distributor Payments'!H$21</f>
        <v>3148.8324063213759</v>
      </c>
      <c r="K80" s="7">
        <f>$B80*'Distributor Payments'!I$21</f>
        <v>3148.8324062911747</v>
      </c>
      <c r="L80" s="7">
        <f>$B80*'Distributor Payments'!J$21</f>
        <v>1199.7051467378449</v>
      </c>
      <c r="M80" s="7">
        <f>$B80*'Distributor Payments'!K$21</f>
        <v>3703.4062877348442</v>
      </c>
      <c r="N80" s="7">
        <f>$B80*'Distributor Payments'!L$21</f>
        <v>3703.4062877348442</v>
      </c>
      <c r="O80" s="7">
        <f>$B80*'Distributor Payments'!M$21</f>
        <v>3703.4062877348442</v>
      </c>
      <c r="P80" s="7">
        <f>$B80*'Distributor Payments'!N$21</f>
        <v>3113.0867377603427</v>
      </c>
      <c r="Q80" s="7">
        <f>$B80*'Distributor Payments'!O$21</f>
        <v>3113.0867377603427</v>
      </c>
      <c r="R80" s="7">
        <f>$B80*'Distributor Payments'!P$21</f>
        <v>3113.0867377603427</v>
      </c>
      <c r="S80" s="7">
        <f>$B80*'Distributor Payments'!Q$21</f>
        <v>3113.0867377603427</v>
      </c>
      <c r="T80" s="7">
        <f>$B80*'Distributor Payments'!R$21</f>
        <v>3113.0867377603427</v>
      </c>
      <c r="U80" s="7">
        <f>$B80*'Distributor Payments'!S$21</f>
        <v>3113.0867377603427</v>
      </c>
      <c r="V80" s="7">
        <f>$B80*'Distributor Payments'!T$21</f>
        <v>3113.0867377603427</v>
      </c>
      <c r="W80" s="7">
        <f>$B80*'Distributor Payments'!U$21</f>
        <v>3113.0867377603427</v>
      </c>
      <c r="X80" s="7">
        <f>B80*'Distributor Payments'!$V$21</f>
        <v>762.00599015563716</v>
      </c>
      <c r="Y80" s="7">
        <v>0</v>
      </c>
      <c r="Z80" s="7">
        <f t="shared" si="1"/>
        <v>53109.758714793308</v>
      </c>
    </row>
    <row r="81" spans="1:26" customFormat="1" x14ac:dyDescent="0.35">
      <c r="A81" s="3" t="s">
        <v>34</v>
      </c>
      <c r="B81" s="6">
        <v>2.0643995461205113E-4</v>
      </c>
      <c r="C81" s="8" t="s">
        <v>110</v>
      </c>
      <c r="D81" s="33" t="s">
        <v>336</v>
      </c>
      <c r="E81" s="25">
        <v>1534.76</v>
      </c>
      <c r="F81" s="25">
        <v>1673.19</v>
      </c>
      <c r="G81" s="28">
        <v>1673.19</v>
      </c>
      <c r="H81" s="28">
        <v>3467.17</v>
      </c>
      <c r="I81" s="28">
        <v>1526.07</v>
      </c>
      <c r="J81" s="7">
        <f>$B81*'Distributor Payments'!H$21</f>
        <v>3467.1668370984221</v>
      </c>
      <c r="K81" s="7">
        <f>$B81*'Distributor Payments'!I$21</f>
        <v>3467.1668370651673</v>
      </c>
      <c r="L81" s="7">
        <f>$B81*'Distributor Payments'!J$21</f>
        <v>1320.9905648567621</v>
      </c>
      <c r="M81" s="7">
        <f>$B81*'Distributor Payments'!K$21</f>
        <v>4077.8059319253334</v>
      </c>
      <c r="N81" s="7">
        <f>$B81*'Distributor Payments'!L$21</f>
        <v>4077.8059319253334</v>
      </c>
      <c r="O81" s="7">
        <f>$B81*'Distributor Payments'!M$21</f>
        <v>4077.8059319253334</v>
      </c>
      <c r="P81" s="7">
        <f>$B81*'Distributor Payments'!N$21</f>
        <v>3427.8074236358575</v>
      </c>
      <c r="Q81" s="7">
        <f>$B81*'Distributor Payments'!O$21</f>
        <v>3427.8074236358575</v>
      </c>
      <c r="R81" s="7">
        <f>$B81*'Distributor Payments'!P$21</f>
        <v>3427.8074236358575</v>
      </c>
      <c r="S81" s="7">
        <f>$B81*'Distributor Payments'!Q$21</f>
        <v>3427.8074236358575</v>
      </c>
      <c r="T81" s="7">
        <f>$B81*'Distributor Payments'!R$21</f>
        <v>3427.8074236358575</v>
      </c>
      <c r="U81" s="7">
        <f>$B81*'Distributor Payments'!S$21</f>
        <v>3427.8074236358575</v>
      </c>
      <c r="V81" s="7">
        <f>$B81*'Distributor Payments'!T$21</f>
        <v>3427.8074236358575</v>
      </c>
      <c r="W81" s="7">
        <f>$B81*'Distributor Payments'!U$21</f>
        <v>3427.8074236358575</v>
      </c>
      <c r="X81" s="7">
        <f>B81*'Distributor Payments'!$V$21</f>
        <v>839.04176463443196</v>
      </c>
      <c r="Y81" s="7">
        <v>0</v>
      </c>
      <c r="Z81" s="7">
        <f t="shared" si="1"/>
        <v>58624.623188517646</v>
      </c>
    </row>
    <row r="82" spans="1:26" customFormat="1" x14ac:dyDescent="0.35">
      <c r="A82" s="3" t="s">
        <v>34</v>
      </c>
      <c r="B82" s="6">
        <v>1.5476762894821954E-3</v>
      </c>
      <c r="C82" s="8" t="s">
        <v>111</v>
      </c>
      <c r="D82" s="33" t="s">
        <v>336</v>
      </c>
      <c r="E82" s="25">
        <v>11506.06</v>
      </c>
      <c r="F82" s="25">
        <v>12543.85</v>
      </c>
      <c r="G82" s="28">
        <v>12543.85</v>
      </c>
      <c r="H82" s="28">
        <v>25993.279999999999</v>
      </c>
      <c r="I82" s="28">
        <v>11440.88</v>
      </c>
      <c r="J82" s="7">
        <f>$B82*'Distributor Payments'!H$21</f>
        <v>25993.281753719959</v>
      </c>
      <c r="K82" s="7">
        <f>$B82*'Distributor Payments'!I$21</f>
        <v>25993.281753470652</v>
      </c>
      <c r="L82" s="7">
        <f>$B82*'Distributor Payments'!J$21</f>
        <v>9903.4403475845138</v>
      </c>
      <c r="M82" s="7">
        <f>$B82*'Distributor Payments'!K$21</f>
        <v>30571.23106721642</v>
      </c>
      <c r="N82" s="7">
        <f>$B82*'Distributor Payments'!L$21</f>
        <v>30571.23106721642</v>
      </c>
      <c r="O82" s="7">
        <f>$B82*'Distributor Payments'!M$21</f>
        <v>30571.23106721642</v>
      </c>
      <c r="P82" s="7">
        <f>$B82*'Distributor Payments'!N$21</f>
        <v>25698.205003202296</v>
      </c>
      <c r="Q82" s="7">
        <f>$B82*'Distributor Payments'!O$21</f>
        <v>25698.205003202296</v>
      </c>
      <c r="R82" s="7">
        <f>$B82*'Distributor Payments'!P$21</f>
        <v>25698.205003202296</v>
      </c>
      <c r="S82" s="7">
        <f>$B82*'Distributor Payments'!Q$21</f>
        <v>25698.205003202296</v>
      </c>
      <c r="T82" s="7">
        <f>$B82*'Distributor Payments'!R$21</f>
        <v>25698.205003202296</v>
      </c>
      <c r="U82" s="7">
        <f>$B82*'Distributor Payments'!S$21</f>
        <v>25698.205003202296</v>
      </c>
      <c r="V82" s="7">
        <f>$B82*'Distributor Payments'!T$21</f>
        <v>25698.205003202296</v>
      </c>
      <c r="W82" s="7">
        <f>$B82*'Distributor Payments'!U$21</f>
        <v>25698.205003202296</v>
      </c>
      <c r="X82" s="7">
        <f>B82*'Distributor Payments'!$V$21</f>
        <v>6290.2796479020644</v>
      </c>
      <c r="Y82" s="7">
        <v>0</v>
      </c>
      <c r="Z82" s="7">
        <f t="shared" si="1"/>
        <v>439507.53672994493</v>
      </c>
    </row>
    <row r="83" spans="1:26" customFormat="1" x14ac:dyDescent="0.35">
      <c r="A83" s="3" t="s">
        <v>63</v>
      </c>
      <c r="B83" s="6">
        <v>1.7365497184961723E-5</v>
      </c>
      <c r="C83" s="8" t="s">
        <v>112</v>
      </c>
      <c r="D83" s="33" t="s">
        <v>338</v>
      </c>
      <c r="E83" s="25">
        <v>4653.75</v>
      </c>
      <c r="F83" s="47">
        <v>140.75</v>
      </c>
      <c r="G83" s="49">
        <v>140.75</v>
      </c>
      <c r="H83" s="28">
        <v>0</v>
      </c>
      <c r="I83" s="28">
        <v>0</v>
      </c>
      <c r="J83" s="49">
        <f>$B$83*'Distributor Payments'!H$21</f>
        <v>291.65418129727937</v>
      </c>
      <c r="K83" s="49">
        <f>$B$83*'Distributor Payments'!I$21</f>
        <v>291.65418129448204</v>
      </c>
      <c r="L83" s="49">
        <f>$B$83*'Distributor Payments'!J$21</f>
        <v>111.12024306772432</v>
      </c>
      <c r="M83" s="49">
        <f>$B$83*'Distributor Payments'!K$21</f>
        <v>343.02045631013624</v>
      </c>
      <c r="N83" s="49">
        <f>$B$83*'Distributor Payments'!L$21</f>
        <v>343.02045631013624</v>
      </c>
      <c r="O83" s="49">
        <f>$B$83*'Distributor Payments'!M$21</f>
        <v>343.02045631013624</v>
      </c>
      <c r="P83" s="49">
        <f>$B$83*'Distributor Payments'!N$21</f>
        <v>288.34331163074432</v>
      </c>
      <c r="Q83" s="49">
        <f>$B$83*'Distributor Payments'!O$21</f>
        <v>288.34331163074432</v>
      </c>
      <c r="R83" s="49">
        <f>$B$83*'Distributor Payments'!P$21</f>
        <v>288.34331163074432</v>
      </c>
      <c r="S83" s="49">
        <f>$B$83*'Distributor Payments'!Q$21</f>
        <v>288.34331163074432</v>
      </c>
      <c r="T83" s="49">
        <f>$B$83*'Distributor Payments'!R$21</f>
        <v>288.34331163074432</v>
      </c>
      <c r="U83" s="49">
        <f>$B$83*'Distributor Payments'!S$21</f>
        <v>288.34331163074432</v>
      </c>
      <c r="V83" s="49">
        <f>$B$83*'Distributor Payments'!T$21</f>
        <v>288.34331163074432</v>
      </c>
      <c r="W83" s="49">
        <f>$B$83*'Distributor Payments'!U$21</f>
        <v>288.34331163074432</v>
      </c>
      <c r="X83" s="49">
        <f>$B$83*'Distributor Payments'!V$21</f>
        <v>70.579251139662787</v>
      </c>
      <c r="Y83" s="7">
        <v>0</v>
      </c>
      <c r="Z83" s="7">
        <f>E83</f>
        <v>4653.75</v>
      </c>
    </row>
    <row r="84" spans="1:26" customFormat="1" x14ac:dyDescent="0.35">
      <c r="A84" s="3" t="s">
        <v>113</v>
      </c>
      <c r="B84" s="6">
        <v>4.4954056800838708E-4</v>
      </c>
      <c r="C84" s="8" t="s">
        <v>114</v>
      </c>
      <c r="D84" s="33" t="s">
        <v>336</v>
      </c>
      <c r="E84" s="25">
        <v>3342.07</v>
      </c>
      <c r="F84" s="25">
        <v>3643.51</v>
      </c>
      <c r="G84" s="28">
        <v>3643.51</v>
      </c>
      <c r="H84" s="28">
        <v>7550.05</v>
      </c>
      <c r="I84" s="28">
        <v>3323.14</v>
      </c>
      <c r="J84" s="7">
        <f>$B84*'Distributor Payments'!H$21</f>
        <v>7550.0508235341422</v>
      </c>
      <c r="K84" s="7">
        <f>$B84*'Distributor Payments'!I$21</f>
        <v>7550.0508234617273</v>
      </c>
      <c r="L84" s="7">
        <f>$B84*'Distributor Payments'!J$21</f>
        <v>2876.5693635972298</v>
      </c>
      <c r="M84" s="7">
        <f>$B84*'Distributor Payments'!K$21</f>
        <v>8879.7694143586741</v>
      </c>
      <c r="N84" s="7">
        <f>$B84*'Distributor Payments'!L$21</f>
        <v>8879.7694143586741</v>
      </c>
      <c r="O84" s="7">
        <f>$B84*'Distributor Payments'!M$21</f>
        <v>8879.7694143586741</v>
      </c>
      <c r="P84" s="7">
        <f>$B84*'Distributor Payments'!N$21</f>
        <v>7464.3423514620144</v>
      </c>
      <c r="Q84" s="7">
        <f>$B84*'Distributor Payments'!O$21</f>
        <v>7464.3423514620144</v>
      </c>
      <c r="R84" s="7">
        <f>$B84*'Distributor Payments'!P$21</f>
        <v>7464.3423514620144</v>
      </c>
      <c r="S84" s="7">
        <f>$B84*'Distributor Payments'!Q$21</f>
        <v>7464.3423514620144</v>
      </c>
      <c r="T84" s="7">
        <f>$B84*'Distributor Payments'!R$21</f>
        <v>7464.3423514620144</v>
      </c>
      <c r="U84" s="7">
        <f>$B84*'Distributor Payments'!S$21</f>
        <v>7464.3423514620144</v>
      </c>
      <c r="V84" s="7">
        <f>$B84*'Distributor Payments'!T$21</f>
        <v>7464.3423514620144</v>
      </c>
      <c r="W84" s="7">
        <f>$B84*'Distributor Payments'!U$21</f>
        <v>7464.3423514620144</v>
      </c>
      <c r="X84" s="7">
        <f>B84*'Distributor Payments'!$V$21</f>
        <v>1827.0848400705061</v>
      </c>
      <c r="Y84" s="7">
        <v>0</v>
      </c>
      <c r="Z84" s="7">
        <f t="shared" si="1"/>
        <v>127660.08290543567</v>
      </c>
    </row>
    <row r="85" spans="1:26" customFormat="1" x14ac:dyDescent="0.35">
      <c r="A85" s="3" t="s">
        <v>34</v>
      </c>
      <c r="B85" s="6">
        <v>8.3526623913208629E-4</v>
      </c>
      <c r="C85" s="8" t="s">
        <v>115</v>
      </c>
      <c r="D85" s="33" t="s">
        <v>336</v>
      </c>
      <c r="E85" s="25">
        <v>6209.71</v>
      </c>
      <c r="F85" s="25">
        <v>6769.8</v>
      </c>
      <c r="G85" s="28">
        <v>6769.8</v>
      </c>
      <c r="H85" s="28">
        <v>14028.33</v>
      </c>
      <c r="I85" s="28">
        <v>6174.53</v>
      </c>
      <c r="J85" s="7">
        <f>$B85*'Distributor Payments'!H$21</f>
        <v>14028.328042936088</v>
      </c>
      <c r="K85" s="7">
        <f>$B85*'Distributor Payments'!I$21</f>
        <v>14028.328042801537</v>
      </c>
      <c r="L85" s="7">
        <f>$B85*'Distributor Payments'!J$21</f>
        <v>5344.7929840441229</v>
      </c>
      <c r="M85" s="7">
        <f>$B85*'Distributor Payments'!K$21</f>
        <v>16499.003940736933</v>
      </c>
      <c r="N85" s="7">
        <f>$B85*'Distributor Payments'!L$21</f>
        <v>16499.003940736933</v>
      </c>
      <c r="O85" s="7">
        <f>$B85*'Distributor Payments'!M$21</f>
        <v>16499.003940736933</v>
      </c>
      <c r="P85" s="7">
        <f>$B85*'Distributor Payments'!N$21</f>
        <v>13869.077914640418</v>
      </c>
      <c r="Q85" s="7">
        <f>$B85*'Distributor Payments'!O$21</f>
        <v>13869.077914640418</v>
      </c>
      <c r="R85" s="7">
        <f>$B85*'Distributor Payments'!P$21</f>
        <v>13869.077914640418</v>
      </c>
      <c r="S85" s="7">
        <f>$B85*'Distributor Payments'!Q$21</f>
        <v>13869.077914640418</v>
      </c>
      <c r="T85" s="7">
        <f>$B85*'Distributor Payments'!R$21</f>
        <v>13869.077914640418</v>
      </c>
      <c r="U85" s="7">
        <f>$B85*'Distributor Payments'!S$21</f>
        <v>13869.077914640418</v>
      </c>
      <c r="V85" s="7">
        <f>$B85*'Distributor Payments'!T$21</f>
        <v>13869.077914640418</v>
      </c>
      <c r="W85" s="7">
        <f>$B85*'Distributor Payments'!U$21</f>
        <v>13869.077914640418</v>
      </c>
      <c r="X85" s="7">
        <f>B85*'Distributor Payments'!$V$21</f>
        <v>3394.8043659375999</v>
      </c>
      <c r="Y85" s="7">
        <v>0</v>
      </c>
      <c r="Z85" s="7">
        <f t="shared" si="1"/>
        <v>237198.05857505352</v>
      </c>
    </row>
    <row r="86" spans="1:26" customFormat="1" x14ac:dyDescent="0.35">
      <c r="A86" s="3" t="s">
        <v>116</v>
      </c>
      <c r="B86" s="6">
        <v>1.6101293862633693E-4</v>
      </c>
      <c r="C86" s="8" t="s">
        <v>117</v>
      </c>
      <c r="D86" s="33" t="s">
        <v>336</v>
      </c>
      <c r="E86" s="25">
        <v>1197.04</v>
      </c>
      <c r="F86" s="25">
        <v>1305</v>
      </c>
      <c r="G86" s="28">
        <v>1305</v>
      </c>
      <c r="H86" s="28">
        <v>2704.22</v>
      </c>
      <c r="I86" s="28">
        <v>1190.26</v>
      </c>
      <c r="J86" s="7">
        <f>$B86*'Distributor Payments'!H$21</f>
        <v>2704.2183873664253</v>
      </c>
      <c r="K86" s="7">
        <f>$B86*'Distributor Payments'!I$21</f>
        <v>2704.2183873404883</v>
      </c>
      <c r="L86" s="7">
        <f>$B86*'Distributor Payments'!J$21</f>
        <v>1030.3072055259772</v>
      </c>
      <c r="M86" s="7">
        <f>$B86*'Distributor Payments'!K$21</f>
        <v>3180.4866334187709</v>
      </c>
      <c r="N86" s="7">
        <f>$B86*'Distributor Payments'!L$21</f>
        <v>3180.4866334187709</v>
      </c>
      <c r="O86" s="7">
        <f>$B86*'Distributor Payments'!M$21</f>
        <v>3180.4866334187709</v>
      </c>
      <c r="P86" s="7">
        <f>$B86*'Distributor Payments'!N$21</f>
        <v>2673.5199945280528</v>
      </c>
      <c r="Q86" s="7">
        <f>$B86*'Distributor Payments'!O$21</f>
        <v>2673.5199945280528</v>
      </c>
      <c r="R86" s="7">
        <f>$B86*'Distributor Payments'!P$21</f>
        <v>2673.5199945280528</v>
      </c>
      <c r="S86" s="7">
        <f>$B86*'Distributor Payments'!Q$21</f>
        <v>2673.5199945280528</v>
      </c>
      <c r="T86" s="7">
        <f>$B86*'Distributor Payments'!R$21</f>
        <v>2673.5199945280528</v>
      </c>
      <c r="U86" s="7">
        <f>$B86*'Distributor Payments'!S$21</f>
        <v>2673.5199945280528</v>
      </c>
      <c r="V86" s="7">
        <f>$B86*'Distributor Payments'!T$21</f>
        <v>2673.5199945280528</v>
      </c>
      <c r="W86" s="7">
        <f>$B86*'Distributor Payments'!U$21</f>
        <v>2673.5199945280528</v>
      </c>
      <c r="X86" s="7">
        <f>B86*'Distributor Payments'!$V$21</f>
        <v>654.41101461146536</v>
      </c>
      <c r="Y86" s="7">
        <v>0</v>
      </c>
      <c r="Z86" s="7">
        <f t="shared" si="1"/>
        <v>45724.294851325103</v>
      </c>
    </row>
    <row r="87" spans="1:26" customFormat="1" x14ac:dyDescent="0.35">
      <c r="A87" s="3" t="s">
        <v>63</v>
      </c>
      <c r="B87" s="6">
        <v>2.3972160371395988E-4</v>
      </c>
      <c r="C87" s="8" t="s">
        <v>118</v>
      </c>
      <c r="D87" s="33" t="s">
        <v>336</v>
      </c>
      <c r="E87" s="25">
        <v>1782.19</v>
      </c>
      <c r="F87" s="25">
        <v>1942.93</v>
      </c>
      <c r="G87" s="28">
        <v>1942.93</v>
      </c>
      <c r="H87" s="28">
        <v>4026.13</v>
      </c>
      <c r="I87" s="28">
        <v>1772.09</v>
      </c>
      <c r="J87" s="7">
        <f>$B87*'Distributor Payments'!H$21</f>
        <v>4026.1333911597949</v>
      </c>
      <c r="K87" s="7">
        <f>$B87*'Distributor Payments'!I$21</f>
        <v>4026.1333911211796</v>
      </c>
      <c r="L87" s="7">
        <f>$B87*'Distributor Payments'!J$21</f>
        <v>1533.9568219416128</v>
      </c>
      <c r="M87" s="7">
        <f>$B87*'Distributor Payments'!K$21</f>
        <v>4735.2179449586783</v>
      </c>
      <c r="N87" s="7">
        <f>$B87*'Distributor Payments'!L$21</f>
        <v>4735.2179449586783</v>
      </c>
      <c r="O87" s="7">
        <f>$B87*'Distributor Payments'!M$21</f>
        <v>4735.2179449586783</v>
      </c>
      <c r="P87" s="7">
        <f>$B87*'Distributor Payments'!N$21</f>
        <v>3980.428567526124</v>
      </c>
      <c r="Q87" s="7">
        <f>$B87*'Distributor Payments'!O$21</f>
        <v>3980.428567526124</v>
      </c>
      <c r="R87" s="7">
        <f>$B87*'Distributor Payments'!P$21</f>
        <v>3980.428567526124</v>
      </c>
      <c r="S87" s="7">
        <f>$B87*'Distributor Payments'!Q$21</f>
        <v>3980.428567526124</v>
      </c>
      <c r="T87" s="7">
        <f>$B87*'Distributor Payments'!R$21</f>
        <v>3980.428567526124</v>
      </c>
      <c r="U87" s="7">
        <f>$B87*'Distributor Payments'!S$21</f>
        <v>3980.428567526124</v>
      </c>
      <c r="V87" s="7">
        <f>$B87*'Distributor Payments'!T$21</f>
        <v>3980.428567526124</v>
      </c>
      <c r="W87" s="7">
        <f>$B87*'Distributor Payments'!U$21</f>
        <v>3980.428567526124</v>
      </c>
      <c r="X87" s="7">
        <f>B87*'Distributor Payments'!$V$21</f>
        <v>974.30963777888451</v>
      </c>
      <c r="Y87" s="7">
        <v>0</v>
      </c>
      <c r="Z87" s="7">
        <f t="shared" si="1"/>
        <v>68075.885617086518</v>
      </c>
    </row>
    <row r="88" spans="1:26" customFormat="1" x14ac:dyDescent="0.35">
      <c r="A88" s="3" t="s">
        <v>63</v>
      </c>
      <c r="B88" s="6">
        <v>2.8492835414040001E-2</v>
      </c>
      <c r="C88" s="8" t="s">
        <v>119</v>
      </c>
      <c r="D88" s="33" t="s">
        <v>336</v>
      </c>
      <c r="E88" s="25">
        <v>205506.31</v>
      </c>
      <c r="F88" s="25">
        <v>224042.01</v>
      </c>
      <c r="G88" s="28">
        <v>224042.01</v>
      </c>
      <c r="H88" s="28">
        <v>478538.25</v>
      </c>
      <c r="I88" s="28">
        <v>210627.45</v>
      </c>
      <c r="J88" s="7">
        <f>$B88*'Distributor Payments'!H$21</f>
        <v>478538.24725020578</v>
      </c>
      <c r="K88" s="7">
        <f>$B88*'Distributor Payments'!I$21</f>
        <v>478538.24724561599</v>
      </c>
      <c r="L88" s="7">
        <f>$B88*'Distributor Payments'!J$21</f>
        <v>182323.07219159917</v>
      </c>
      <c r="M88" s="7">
        <f>$B88*'Distributor Payments'!K$21</f>
        <v>562818.63405312877</v>
      </c>
      <c r="N88" s="7">
        <f>$B88*'Distributor Payments'!L$21</f>
        <v>562818.63405312877</v>
      </c>
      <c r="O88" s="7">
        <f>$B88*'Distributor Payments'!M$21</f>
        <v>562818.63405312877</v>
      </c>
      <c r="P88" s="7">
        <f>$B88*'Distributor Payments'!N$21</f>
        <v>473105.86236187589</v>
      </c>
      <c r="Q88" s="7">
        <f>$B88*'Distributor Payments'!O$21</f>
        <v>473105.86236187589</v>
      </c>
      <c r="R88" s="7">
        <f>$B88*'Distributor Payments'!P$21</f>
        <v>473105.86236187589</v>
      </c>
      <c r="S88" s="7">
        <f>$B88*'Distributor Payments'!Q$21</f>
        <v>473105.86236187589</v>
      </c>
      <c r="T88" s="7">
        <f>$B88*'Distributor Payments'!R$21</f>
        <v>473105.86236187589</v>
      </c>
      <c r="U88" s="7">
        <f>$B88*'Distributor Payments'!S$21</f>
        <v>473105.86236187589</v>
      </c>
      <c r="V88" s="7">
        <f>$B88*'Distributor Payments'!T$21</f>
        <v>473105.86236187589</v>
      </c>
      <c r="W88" s="7">
        <f>$B88*'Distributor Payments'!U$21</f>
        <v>473105.86236187589</v>
      </c>
      <c r="X88" s="7">
        <f>B88*'Distributor Payments'!$V$21</f>
        <v>115804.51541059864</v>
      </c>
      <c r="Y88" s="7">
        <v>0</v>
      </c>
      <c r="Z88" s="7">
        <f t="shared" si="1"/>
        <v>8071262.9131524162</v>
      </c>
    </row>
    <row r="89" spans="1:26" customFormat="1" x14ac:dyDescent="0.35">
      <c r="A89" s="3" t="s">
        <v>63</v>
      </c>
      <c r="B89" s="6">
        <v>3.5084584823786191E-5</v>
      </c>
      <c r="C89" s="8" t="s">
        <v>120</v>
      </c>
      <c r="D89" s="33" t="s">
        <v>336</v>
      </c>
      <c r="E89" s="25">
        <v>260.83</v>
      </c>
      <c r="F89" s="29">
        <v>284.36</v>
      </c>
      <c r="G89" s="28">
        <v>284.36</v>
      </c>
      <c r="H89" s="28">
        <v>589.25</v>
      </c>
      <c r="I89" s="28">
        <v>259.36</v>
      </c>
      <c r="J89" s="7">
        <f>$B89*'Distributor Payments'!H$21</f>
        <v>589.2469276259809</v>
      </c>
      <c r="K89" s="7">
        <f>$B89*'Distributor Payments'!I$21</f>
        <v>589.2469276203293</v>
      </c>
      <c r="L89" s="7">
        <f>$B89*'Distributor Payments'!J$21</f>
        <v>224.50307941228732</v>
      </c>
      <c r="M89" s="7">
        <f>$B89*'Distributor Payments'!K$21</f>
        <v>693.02538058793539</v>
      </c>
      <c r="N89" s="7">
        <f>$B89*'Distributor Payments'!L$21</f>
        <v>693.02538058793539</v>
      </c>
      <c r="O89" s="7">
        <f>$B89*'Distributor Payments'!M$21</f>
        <v>693.02538058793539</v>
      </c>
      <c r="P89" s="7">
        <f>$B89*'Distributor Payments'!N$21</f>
        <v>582.55777347054197</v>
      </c>
      <c r="Q89" s="7">
        <f>$B89*'Distributor Payments'!O$21</f>
        <v>582.55777347054197</v>
      </c>
      <c r="R89" s="7">
        <f>$B89*'Distributor Payments'!P$21</f>
        <v>582.55777347054197</v>
      </c>
      <c r="S89" s="7">
        <f>$B89*'Distributor Payments'!Q$21</f>
        <v>582.55777347054197</v>
      </c>
      <c r="T89" s="7">
        <f>$B89*'Distributor Payments'!R$21</f>
        <v>582.55777347054197</v>
      </c>
      <c r="U89" s="7">
        <f>$B89*'Distributor Payments'!S$21</f>
        <v>582.55777347054197</v>
      </c>
      <c r="V89" s="7">
        <f>$B89*'Distributor Payments'!T$21</f>
        <v>582.55777347054197</v>
      </c>
      <c r="W89" s="7">
        <f>$B89*'Distributor Payments'!U$21</f>
        <v>582.55777347054197</v>
      </c>
      <c r="X89" s="7">
        <f>B89*'Distributor Payments'!$V$21</f>
        <v>142.5956134186126</v>
      </c>
      <c r="Y89" s="7">
        <v>0</v>
      </c>
      <c r="Z89" s="7">
        <f t="shared" si="1"/>
        <v>9963.2908776053537</v>
      </c>
    </row>
    <row r="90" spans="1:26" customFormat="1" x14ac:dyDescent="0.35">
      <c r="A90" s="3" t="s">
        <v>121</v>
      </c>
      <c r="B90" s="6">
        <v>8.8497408803487904E-5</v>
      </c>
      <c r="C90" s="8" t="s">
        <v>122</v>
      </c>
      <c r="D90" s="33" t="s">
        <v>336</v>
      </c>
      <c r="E90" s="25">
        <v>657.93</v>
      </c>
      <c r="F90" s="29">
        <v>717.27</v>
      </c>
      <c r="G90" s="28">
        <v>717.27</v>
      </c>
      <c r="H90" s="28">
        <v>1486.32</v>
      </c>
      <c r="I90" s="28">
        <v>654.20000000000005</v>
      </c>
      <c r="J90" s="7">
        <f>$B90*'Distributor Payments'!H$21</f>
        <v>1486.3173243242099</v>
      </c>
      <c r="K90" s="7">
        <f>$B90*'Distributor Payments'!I$21</f>
        <v>1486.3173243099543</v>
      </c>
      <c r="L90" s="7">
        <f>$B90*'Distributor Payments'!J$21</f>
        <v>566.28690053419962</v>
      </c>
      <c r="M90" s="7">
        <f>$B90*'Distributor Payments'!K$21</f>
        <v>1748.0882480189121</v>
      </c>
      <c r="N90" s="7">
        <f>$B90*'Distributor Payments'!L$21</f>
        <v>1748.0882480189121</v>
      </c>
      <c r="O90" s="7">
        <f>$B90*'Distributor Payments'!M$21</f>
        <v>1748.0882480189121</v>
      </c>
      <c r="P90" s="7">
        <f>$B90*'Distributor Payments'!N$21</f>
        <v>1469.4445919599357</v>
      </c>
      <c r="Q90" s="7">
        <f>$B90*'Distributor Payments'!O$21</f>
        <v>1469.4445919599357</v>
      </c>
      <c r="R90" s="7">
        <f>$B90*'Distributor Payments'!P$21</f>
        <v>1469.4445919599357</v>
      </c>
      <c r="S90" s="7">
        <f>$B90*'Distributor Payments'!Q$21</f>
        <v>1469.4445919599357</v>
      </c>
      <c r="T90" s="7">
        <f>$B90*'Distributor Payments'!R$21</f>
        <v>1469.4445919599357</v>
      </c>
      <c r="U90" s="7">
        <f>$B90*'Distributor Payments'!S$21</f>
        <v>1469.4445919599357</v>
      </c>
      <c r="V90" s="7">
        <f>$B90*'Distributor Payments'!T$21</f>
        <v>1469.4445919599357</v>
      </c>
      <c r="W90" s="7">
        <f>$B90*'Distributor Payments'!U$21</f>
        <v>1469.4445919599357</v>
      </c>
      <c r="X90" s="7">
        <f>B90*'Distributor Payments'!$V$21</f>
        <v>359.68338681139494</v>
      </c>
      <c r="Y90" s="7">
        <v>0</v>
      </c>
      <c r="Z90" s="7">
        <f t="shared" si="1"/>
        <v>25131.416415715972</v>
      </c>
    </row>
    <row r="91" spans="1:26" customFormat="1" x14ac:dyDescent="0.35">
      <c r="A91" s="3" t="s">
        <v>75</v>
      </c>
      <c r="B91" s="6">
        <v>7.5069791154999557E-4</v>
      </c>
      <c r="C91" s="8" t="s">
        <v>123</v>
      </c>
      <c r="D91" s="33" t="s">
        <v>336</v>
      </c>
      <c r="E91" s="25">
        <v>5580.99</v>
      </c>
      <c r="F91" s="25">
        <v>6084.37</v>
      </c>
      <c r="G91" s="28">
        <v>6084.37</v>
      </c>
      <c r="H91" s="28">
        <v>12608</v>
      </c>
      <c r="I91" s="28">
        <v>5549.38</v>
      </c>
      <c r="J91" s="7">
        <f>$B91*'Distributor Payments'!H$21</f>
        <v>12607.999786167597</v>
      </c>
      <c r="K91" s="7">
        <f>$B91*'Distributor Payments'!I$21</f>
        <v>12607.99978604667</v>
      </c>
      <c r="L91" s="7">
        <f>$B91*'Distributor Payments'!J$21</f>
        <v>4803.647918247173</v>
      </c>
      <c r="M91" s="7">
        <f>$B91*'Distributor Payments'!K$21</f>
        <v>14828.526786664148</v>
      </c>
      <c r="N91" s="7">
        <f>$B91*'Distributor Payments'!L$21</f>
        <v>14828.526786664148</v>
      </c>
      <c r="O91" s="7">
        <f>$B91*'Distributor Payments'!M$21</f>
        <v>14828.526786664148</v>
      </c>
      <c r="P91" s="7">
        <f>$B91*'Distributor Payments'!N$21</f>
        <v>12464.873279761869</v>
      </c>
      <c r="Q91" s="7">
        <f>$B91*'Distributor Payments'!O$21</f>
        <v>12464.873279761869</v>
      </c>
      <c r="R91" s="7">
        <f>$B91*'Distributor Payments'!P$21</f>
        <v>12464.873279761869</v>
      </c>
      <c r="S91" s="7">
        <f>$B91*'Distributor Payments'!Q$21</f>
        <v>12464.873279761869</v>
      </c>
      <c r="T91" s="7">
        <f>$B91*'Distributor Payments'!R$21</f>
        <v>12464.873279761869</v>
      </c>
      <c r="U91" s="7">
        <f>$B91*'Distributor Payments'!S$21</f>
        <v>12464.873279761869</v>
      </c>
      <c r="V91" s="7">
        <f>$B91*'Distributor Payments'!T$21</f>
        <v>12464.873279761869</v>
      </c>
      <c r="W91" s="7">
        <f>$B91*'Distributor Payments'!U$21</f>
        <v>12464.873279761869</v>
      </c>
      <c r="X91" s="7">
        <f>B91*'Distributor Payments'!$V$21</f>
        <v>3051.0900934751608</v>
      </c>
      <c r="Y91" s="7">
        <v>0</v>
      </c>
      <c r="Z91" s="7">
        <f t="shared" si="1"/>
        <v>213182.41418202402</v>
      </c>
    </row>
    <row r="92" spans="1:26" customFormat="1" x14ac:dyDescent="0.35">
      <c r="A92" s="3" t="s">
        <v>45</v>
      </c>
      <c r="B92" s="6">
        <v>4.5819319944451464E-4</v>
      </c>
      <c r="C92" s="8" t="s">
        <v>124</v>
      </c>
      <c r="D92" s="33" t="s">
        <v>336</v>
      </c>
      <c r="E92" s="25">
        <v>3406.39</v>
      </c>
      <c r="F92" s="29">
        <v>3713.64</v>
      </c>
      <c r="G92" s="28">
        <v>3713.64</v>
      </c>
      <c r="H92" s="28">
        <v>7695.37</v>
      </c>
      <c r="I92" s="28">
        <v>3387.1</v>
      </c>
      <c r="J92" s="7">
        <f>$B92*'Distributor Payments'!H$21</f>
        <v>7695.3720954039891</v>
      </c>
      <c r="K92" s="7">
        <f>$B92*'Distributor Payments'!I$21</f>
        <v>7695.3720953301809</v>
      </c>
      <c r="L92" s="7">
        <f>$B92*'Distributor Payments'!J$21</f>
        <v>2931.9367681763833</v>
      </c>
      <c r="M92" s="7">
        <f>$B92*'Distributor Payments'!K$21</f>
        <v>9050.6847386877798</v>
      </c>
      <c r="N92" s="7">
        <f>$B92*'Distributor Payments'!L$21</f>
        <v>9050.6847386877798</v>
      </c>
      <c r="O92" s="7">
        <f>$B92*'Distributor Payments'!M$21</f>
        <v>9050.6847386877798</v>
      </c>
      <c r="P92" s="7">
        <f>$B92*'Distributor Payments'!N$21</f>
        <v>7608.0139305731427</v>
      </c>
      <c r="Q92" s="7">
        <f>$B92*'Distributor Payments'!O$21</f>
        <v>7608.0139305731427</v>
      </c>
      <c r="R92" s="7">
        <f>$B92*'Distributor Payments'!P$21</f>
        <v>7608.0139305731427</v>
      </c>
      <c r="S92" s="7">
        <f>$B92*'Distributor Payments'!Q$21</f>
        <v>7608.0139305731427</v>
      </c>
      <c r="T92" s="7">
        <f>$B92*'Distributor Payments'!R$21</f>
        <v>7608.0139305731427</v>
      </c>
      <c r="U92" s="7">
        <f>$B92*'Distributor Payments'!S$21</f>
        <v>7608.0139305731427</v>
      </c>
      <c r="V92" s="7">
        <f>$B92*'Distributor Payments'!T$21</f>
        <v>7608.0139305731427</v>
      </c>
      <c r="W92" s="7">
        <f>$B92*'Distributor Payments'!U$21</f>
        <v>7608.0139305731427</v>
      </c>
      <c r="X92" s="7">
        <f>B92*'Distributor Payments'!$V$21</f>
        <v>1862.2520593355118</v>
      </c>
      <c r="Y92" s="7">
        <v>0</v>
      </c>
      <c r="Z92" s="7">
        <f t="shared" si="1"/>
        <v>130117.23867889454</v>
      </c>
    </row>
    <row r="93" spans="1:26" customFormat="1" x14ac:dyDescent="0.35">
      <c r="A93" s="3" t="s">
        <v>105</v>
      </c>
      <c r="B93" s="6">
        <v>1.2116695250141902E-4</v>
      </c>
      <c r="C93" s="8" t="s">
        <v>125</v>
      </c>
      <c r="D93" s="33" t="s">
        <v>336</v>
      </c>
      <c r="E93" s="25">
        <v>900.8</v>
      </c>
      <c r="F93" s="29">
        <v>982.05</v>
      </c>
      <c r="G93" s="28">
        <v>982.05</v>
      </c>
      <c r="H93" s="28">
        <v>2035</v>
      </c>
      <c r="I93" s="28">
        <v>895.7</v>
      </c>
      <c r="J93" s="7">
        <f>$B93*'Distributor Payments'!H$21</f>
        <v>2035.0035450001772</v>
      </c>
      <c r="K93" s="7">
        <f>$B93*'Distributor Payments'!I$21</f>
        <v>2035.0035449806589</v>
      </c>
      <c r="L93" s="7">
        <f>$B93*'Distributor Payments'!J$21</f>
        <v>775.33635059944106</v>
      </c>
      <c r="M93" s="7">
        <f>$B93*'Distributor Payments'!K$21</f>
        <v>2393.4093503949953</v>
      </c>
      <c r="N93" s="7">
        <f>$B93*'Distributor Payments'!L$21</f>
        <v>2393.4093503949953</v>
      </c>
      <c r="O93" s="7">
        <f>$B93*'Distributor Payments'!M$21</f>
        <v>2393.4093503949953</v>
      </c>
      <c r="P93" s="7">
        <f>$B93*'Distributor Payments'!N$21</f>
        <v>2011.9021052112348</v>
      </c>
      <c r="Q93" s="7">
        <f>$B93*'Distributor Payments'!O$21</f>
        <v>2011.9021052112348</v>
      </c>
      <c r="R93" s="7">
        <f>$B93*'Distributor Payments'!P$21</f>
        <v>2011.9021052112348</v>
      </c>
      <c r="S93" s="7">
        <f>$B93*'Distributor Payments'!Q$21</f>
        <v>2011.9021052112348</v>
      </c>
      <c r="T93" s="7">
        <f>$B93*'Distributor Payments'!R$21</f>
        <v>2011.9021052112348</v>
      </c>
      <c r="U93" s="7">
        <f>$B93*'Distributor Payments'!S$21</f>
        <v>2011.9021052112348</v>
      </c>
      <c r="V93" s="7">
        <f>$B93*'Distributor Payments'!T$21</f>
        <v>2011.9021052112348</v>
      </c>
      <c r="W93" s="7">
        <f>$B93*'Distributor Payments'!U$21</f>
        <v>2011.9021052112348</v>
      </c>
      <c r="X93" s="7">
        <f>B93*'Distributor Payments'!$V$21</f>
        <v>492.46345666572955</v>
      </c>
      <c r="Y93" s="7">
        <v>0</v>
      </c>
      <c r="Z93" s="7">
        <f t="shared" si="1"/>
        <v>34408.851790120876</v>
      </c>
    </row>
    <row r="94" spans="1:26" customFormat="1" x14ac:dyDescent="0.35">
      <c r="A94" s="3" t="s">
        <v>14</v>
      </c>
      <c r="B94" s="6">
        <v>8.427740556918813E-5</v>
      </c>
      <c r="C94" s="8" t="s">
        <v>339</v>
      </c>
      <c r="D94" s="33" t="s">
        <v>336</v>
      </c>
      <c r="E94" s="25">
        <v>626.54999999999995</v>
      </c>
      <c r="F94" s="25">
        <v>683.06</v>
      </c>
      <c r="G94" s="28">
        <v>683.06</v>
      </c>
      <c r="H94" s="28">
        <v>1415.44</v>
      </c>
      <c r="I94" s="28">
        <v>623</v>
      </c>
      <c r="J94" s="7">
        <f>$B94*'Distributor Payments'!H$21</f>
        <v>1415.4422105706337</v>
      </c>
      <c r="K94" s="7">
        <f>$B94*'Distributor Payments'!I$21</f>
        <v>1415.4422105570579</v>
      </c>
      <c r="L94" s="7">
        <f>$B94*'Distributor Payments'!J$21</f>
        <v>539.28348219567613</v>
      </c>
      <c r="M94" s="7">
        <f>$B94*'Distributor Payments'!K$21</f>
        <v>1664.7305750630628</v>
      </c>
      <c r="N94" s="7">
        <f>$B94*'Distributor Payments'!L$21</f>
        <v>1664.7305750630628</v>
      </c>
      <c r="O94" s="7">
        <f>$B94*'Distributor Payments'!M$21</f>
        <v>1664.7305750630628</v>
      </c>
      <c r="P94" s="7">
        <f>$B94*'Distributor Payments'!N$21</f>
        <v>1399.374055268122</v>
      </c>
      <c r="Q94" s="7">
        <f>$B94*'Distributor Payments'!O$21</f>
        <v>1399.374055268122</v>
      </c>
      <c r="R94" s="7">
        <f>$B94*'Distributor Payments'!P$21</f>
        <v>1399.374055268122</v>
      </c>
      <c r="S94" s="7">
        <f>$B94*'Distributor Payments'!Q$21</f>
        <v>1399.374055268122</v>
      </c>
      <c r="T94" s="7">
        <f>$B94*'Distributor Payments'!R$21</f>
        <v>1399.374055268122</v>
      </c>
      <c r="U94" s="7">
        <f>$B94*'Distributor Payments'!S$21</f>
        <v>1399.374055268122</v>
      </c>
      <c r="V94" s="7">
        <f>$B94*'Distributor Payments'!T$21</f>
        <v>1399.374055268122</v>
      </c>
      <c r="W94" s="7">
        <f>$B94*'Distributor Payments'!U$21</f>
        <v>1399.374055268122</v>
      </c>
      <c r="X94" s="7">
        <f>B94*'Distributor Payments'!$V$21</f>
        <v>342.53186705290727</v>
      </c>
      <c r="Y94" s="7">
        <v>0</v>
      </c>
      <c r="Z94" s="7">
        <f t="shared" si="1"/>
        <v>23932.993937710446</v>
      </c>
    </row>
    <row r="95" spans="1:26" customFormat="1" x14ac:dyDescent="0.35">
      <c r="A95" s="3" t="s">
        <v>22</v>
      </c>
      <c r="B95" s="6">
        <v>3.3764697821205995E-4</v>
      </c>
      <c r="C95" s="8" t="s">
        <v>127</v>
      </c>
      <c r="D95" s="33" t="s">
        <v>336</v>
      </c>
      <c r="E95" s="25">
        <v>2510.21</v>
      </c>
      <c r="F95" s="25">
        <v>2736.61</v>
      </c>
      <c r="G95" s="28">
        <v>2736.61</v>
      </c>
      <c r="H95" s="28">
        <v>5670.79</v>
      </c>
      <c r="I95" s="28">
        <v>2495.9899999999998</v>
      </c>
      <c r="J95" s="7">
        <f>$B95*'Distributor Payments'!H$21</f>
        <v>5670.7937555175586</v>
      </c>
      <c r="K95" s="7">
        <f>$B95*'Distributor Payments'!I$21</f>
        <v>5670.7937554631681</v>
      </c>
      <c r="L95" s="7">
        <f>$B95*'Distributor Payments'!J$21</f>
        <v>2160.572420725046</v>
      </c>
      <c r="M95" s="7">
        <f>$B95*'Distributor Payments'!K$21</f>
        <v>6669.5366855570237</v>
      </c>
      <c r="N95" s="7">
        <f>$B95*'Distributor Payments'!L$21</f>
        <v>6669.5366855570237</v>
      </c>
      <c r="O95" s="7">
        <f>$B95*'Distributor Payments'!M$21</f>
        <v>6669.5366855570237</v>
      </c>
      <c r="P95" s="7">
        <f>$B95*'Distributor Payments'!N$21</f>
        <v>5606.4186831396928</v>
      </c>
      <c r="Q95" s="7">
        <f>$B95*'Distributor Payments'!O$21</f>
        <v>5606.4186831396928</v>
      </c>
      <c r="R95" s="7">
        <f>$B95*'Distributor Payments'!P$21</f>
        <v>5606.4186831396928</v>
      </c>
      <c r="S95" s="7">
        <f>$B95*'Distributor Payments'!Q$21</f>
        <v>5606.4186831396928</v>
      </c>
      <c r="T95" s="7">
        <f>$B95*'Distributor Payments'!R$21</f>
        <v>5606.4186831396928</v>
      </c>
      <c r="U95" s="7">
        <f>$B95*'Distributor Payments'!S$21</f>
        <v>5606.4186831396928</v>
      </c>
      <c r="V95" s="7">
        <f>$B95*'Distributor Payments'!T$21</f>
        <v>5606.4186831396928</v>
      </c>
      <c r="W95" s="7">
        <f>$B95*'Distributor Payments'!U$21</f>
        <v>5606.4186831396928</v>
      </c>
      <c r="X95" s="7">
        <f>B95*'Distributor Payments'!$V$21</f>
        <v>1372.3114643912661</v>
      </c>
      <c r="Y95" s="7">
        <v>0</v>
      </c>
      <c r="Z95" s="7">
        <f t="shared" si="1"/>
        <v>95884.64091788567</v>
      </c>
    </row>
    <row r="96" spans="1:26" customFormat="1" x14ac:dyDescent="0.35">
      <c r="A96" s="3" t="s">
        <v>99</v>
      </c>
      <c r="B96" s="6">
        <v>3.8116364934622371E-6</v>
      </c>
      <c r="C96" s="8" t="s">
        <v>128</v>
      </c>
      <c r="D96" s="33" t="s">
        <v>338</v>
      </c>
      <c r="E96" s="25">
        <v>1021.47</v>
      </c>
      <c r="F96" s="47">
        <v>30.89</v>
      </c>
      <c r="G96" s="49">
        <v>30.89</v>
      </c>
      <c r="H96" s="28">
        <v>0</v>
      </c>
      <c r="I96" s="28">
        <v>0</v>
      </c>
      <c r="J96" s="49">
        <f>$B$96*'Distributor Payments'!H$21</f>
        <v>64.01657891294127</v>
      </c>
      <c r="K96" s="49">
        <f>$B$96*'Distributor Payments'!I$21</f>
        <v>64.016578912327262</v>
      </c>
      <c r="L96" s="49">
        <f>$B$96*'Distributor Payments'!J$21</f>
        <v>24.39031656439532</v>
      </c>
      <c r="M96" s="49">
        <f>$B$96*'Distributor Payments'!K$21</f>
        <v>75.291209652668869</v>
      </c>
      <c r="N96" s="49">
        <f>$B$96*'Distributor Payments'!L$21</f>
        <v>75.291209652668869</v>
      </c>
      <c r="O96" s="49">
        <f>$B$96*'Distributor Payments'!M$21</f>
        <v>75.291209652668869</v>
      </c>
      <c r="P96" s="49">
        <f>$B$96*'Distributor Payments'!N$21</f>
        <v>63.289860206782322</v>
      </c>
      <c r="Q96" s="49">
        <f>$B$96*'Distributor Payments'!O$21</f>
        <v>63.289860206782322</v>
      </c>
      <c r="R96" s="49">
        <f>$B$96*'Distributor Payments'!P$21</f>
        <v>63.289860206782322</v>
      </c>
      <c r="S96" s="49">
        <f>$B$96*'Distributor Payments'!Q$21</f>
        <v>63.289860206782322</v>
      </c>
      <c r="T96" s="49">
        <f>$B$96*'Distributor Payments'!R$21</f>
        <v>63.289860206782322</v>
      </c>
      <c r="U96" s="49">
        <f>$B$96*'Distributor Payments'!S$21</f>
        <v>63.289860206782322</v>
      </c>
      <c r="V96" s="49">
        <f>$B$96*'Distributor Payments'!T$21</f>
        <v>63.289860206782322</v>
      </c>
      <c r="W96" s="49">
        <f>$B$96*'Distributor Payments'!U$21</f>
        <v>63.289860206782322</v>
      </c>
      <c r="X96" s="49">
        <f>$B$96*'Distributor Payments'!V$21</f>
        <v>15.491779271263512</v>
      </c>
      <c r="Y96" s="7">
        <v>0</v>
      </c>
      <c r="Z96" s="7">
        <f>E96</f>
        <v>1021.47</v>
      </c>
    </row>
    <row r="97" spans="1:26" customFormat="1" x14ac:dyDescent="0.35">
      <c r="A97" s="3" t="s">
        <v>63</v>
      </c>
      <c r="B97" s="6">
        <v>1.2134624402600936E-4</v>
      </c>
      <c r="C97" s="8" t="s">
        <v>129</v>
      </c>
      <c r="D97" s="8" t="s">
        <v>337</v>
      </c>
      <c r="E97" s="25">
        <v>0</v>
      </c>
      <c r="F97" s="25">
        <v>0</v>
      </c>
      <c r="G97" s="25">
        <v>0</v>
      </c>
      <c r="H97" s="30">
        <v>0</v>
      </c>
      <c r="I97" s="30">
        <v>0</v>
      </c>
      <c r="J97" s="25">
        <v>0</v>
      </c>
      <c r="K97" s="25">
        <v>0</v>
      </c>
      <c r="L97" s="25">
        <v>0</v>
      </c>
      <c r="M97" s="25">
        <v>0</v>
      </c>
      <c r="N97" s="25">
        <v>0</v>
      </c>
      <c r="O97" s="25">
        <v>0</v>
      </c>
      <c r="P97" s="25">
        <v>0</v>
      </c>
      <c r="Q97" s="25">
        <v>0</v>
      </c>
      <c r="R97" s="25">
        <v>0</v>
      </c>
      <c r="S97" s="25">
        <v>0</v>
      </c>
      <c r="T97" s="25">
        <v>0</v>
      </c>
      <c r="U97" s="25">
        <v>0</v>
      </c>
      <c r="V97" s="25">
        <v>0</v>
      </c>
      <c r="W97" s="25">
        <v>0</v>
      </c>
      <c r="X97" s="25">
        <v>0</v>
      </c>
      <c r="Y97" s="7">
        <v>0</v>
      </c>
      <c r="Z97" s="7">
        <f t="shared" si="1"/>
        <v>0</v>
      </c>
    </row>
    <row r="98" spans="1:26" customFormat="1" x14ac:dyDescent="0.35">
      <c r="A98" s="3" t="s">
        <v>63</v>
      </c>
      <c r="B98" s="6">
        <v>2.1326060463119998E-2</v>
      </c>
      <c r="C98" s="8" t="s">
        <v>63</v>
      </c>
      <c r="D98" s="33" t="s">
        <v>336</v>
      </c>
      <c r="E98" s="25">
        <v>155569.01</v>
      </c>
      <c r="F98" s="25">
        <v>169600.59</v>
      </c>
      <c r="G98" s="28">
        <v>169600.58589793096</v>
      </c>
      <c r="H98" s="28">
        <v>360210.00475251209</v>
      </c>
      <c r="I98" s="28">
        <v>158545.55724472282</v>
      </c>
      <c r="J98" s="7">
        <f>$B98*'Distributor Payments'!H$21</f>
        <v>358171.99118570768</v>
      </c>
      <c r="K98" s="7">
        <f>$B98*'Distributor Payments'!I$21</f>
        <v>358171.99118227238</v>
      </c>
      <c r="L98" s="7">
        <f>$B98*'Distributor Payments'!J$21</f>
        <v>136463.52863372411</v>
      </c>
      <c r="M98" s="7">
        <f>$B98*'Distributor Payments'!K$21</f>
        <v>421253.41494350659</v>
      </c>
      <c r="N98" s="7">
        <f>$B98*'Distributor Payments'!L$21</f>
        <v>421253.41494350659</v>
      </c>
      <c r="O98" s="7">
        <f>$B98*'Distributor Payments'!M$21</f>
        <v>421253.41494350659</v>
      </c>
      <c r="P98" s="7">
        <f>$B98*'Distributor Payments'!N$21</f>
        <v>354106.00874120952</v>
      </c>
      <c r="Q98" s="7">
        <f>$B98*'Distributor Payments'!O$21</f>
        <v>354106.00874120952</v>
      </c>
      <c r="R98" s="7">
        <f>$B98*'Distributor Payments'!P$21</f>
        <v>354106.00874120952</v>
      </c>
      <c r="S98" s="7">
        <f>$B98*'Distributor Payments'!Q$21</f>
        <v>354106.00874120952</v>
      </c>
      <c r="T98" s="7">
        <f>$B98*'Distributor Payments'!R$21</f>
        <v>354106.00874120952</v>
      </c>
      <c r="U98" s="7">
        <f>$B98*'Distributor Payments'!S$21</f>
        <v>354106.00874120952</v>
      </c>
      <c r="V98" s="7">
        <f>$B98*'Distributor Payments'!T$21</f>
        <v>354106.00874120952</v>
      </c>
      <c r="W98" s="7">
        <f>$B98*'Distributor Payments'!U$21</f>
        <v>354106.00874120952</v>
      </c>
      <c r="X98" s="7">
        <f>B98*'Distributor Payments'!$V$21</f>
        <v>86676.319210119836</v>
      </c>
      <c r="Y98" s="7">
        <v>0</v>
      </c>
      <c r="Z98" s="7">
        <f t="shared" si="1"/>
        <v>6049617.8928671833</v>
      </c>
    </row>
    <row r="99" spans="1:26" customFormat="1" x14ac:dyDescent="0.35">
      <c r="A99" s="3" t="s">
        <v>60</v>
      </c>
      <c r="B99" s="6">
        <v>7.0876314709874915E-7</v>
      </c>
      <c r="C99" s="8" t="s">
        <v>130</v>
      </c>
      <c r="D99" s="33" t="s">
        <v>338</v>
      </c>
      <c r="E99" s="25">
        <v>189.94</v>
      </c>
      <c r="F99" s="48">
        <v>5.74</v>
      </c>
      <c r="G99" s="50">
        <v>5.74</v>
      </c>
      <c r="H99" s="28">
        <v>0</v>
      </c>
      <c r="I99" s="28">
        <v>0</v>
      </c>
      <c r="J99" s="49">
        <f>$B$99*'Distributor Payments'!H$21</f>
        <v>11.903703832895731</v>
      </c>
      <c r="K99" s="49">
        <f>$B$99*'Distributor Payments'!I$21</f>
        <v>11.903703832781559</v>
      </c>
      <c r="L99" s="49">
        <f>$B$99*'Distributor Payments'!J$21</f>
        <v>4.5353111600663825</v>
      </c>
      <c r="M99" s="49">
        <f>$B$99*'Distributor Payments'!K$21</f>
        <v>14.000189890569898</v>
      </c>
      <c r="N99" s="49">
        <f>$B$99*'Distributor Payments'!L$21</f>
        <v>14.000189890569898</v>
      </c>
      <c r="O99" s="49">
        <f>$B$99*'Distributor Payments'!M$21</f>
        <v>14.000189890569898</v>
      </c>
      <c r="P99" s="49">
        <f>$B$99*'Distributor Payments'!N$21</f>
        <v>11.768572521681715</v>
      </c>
      <c r="Q99" s="49">
        <f>$B$99*'Distributor Payments'!O$21</f>
        <v>11.768572521681715</v>
      </c>
      <c r="R99" s="49">
        <f>$B$99*'Distributor Payments'!P$21</f>
        <v>11.768572521681715</v>
      </c>
      <c r="S99" s="49">
        <f>$B$99*'Distributor Payments'!Q$21</f>
        <v>11.768572521681715</v>
      </c>
      <c r="T99" s="49">
        <f>$B$99*'Distributor Payments'!R$21</f>
        <v>11.768572521681715</v>
      </c>
      <c r="U99" s="49">
        <f>$B$99*'Distributor Payments'!S$21</f>
        <v>11.768572521681715</v>
      </c>
      <c r="V99" s="49">
        <f>$B$99*'Distributor Payments'!T$21</f>
        <v>11.768572521681715</v>
      </c>
      <c r="W99" s="49">
        <f>$B$99*'Distributor Payments'!U$21</f>
        <v>11.768572521681715</v>
      </c>
      <c r="X99" s="49">
        <f>$B$99*'Distributor Payments'!V$21</f>
        <v>2.8806530342788248</v>
      </c>
      <c r="Y99" s="7">
        <v>0</v>
      </c>
      <c r="Z99" s="7">
        <f>E99</f>
        <v>189.94</v>
      </c>
    </row>
    <row r="100" spans="1:26" customFormat="1" x14ac:dyDescent="0.35">
      <c r="A100" s="3" t="s">
        <v>24</v>
      </c>
      <c r="B100" s="6">
        <v>6.7511546302027525E-5</v>
      </c>
      <c r="C100" s="8" t="s">
        <v>131</v>
      </c>
      <c r="D100" s="33" t="s">
        <v>336</v>
      </c>
      <c r="E100" s="25">
        <v>501.91</v>
      </c>
      <c r="F100" s="29">
        <v>547.17999999999995</v>
      </c>
      <c r="G100" s="28">
        <v>547.17999999999995</v>
      </c>
      <c r="H100" s="28">
        <v>1133.8599999999999</v>
      </c>
      <c r="I100" s="28">
        <v>499.07</v>
      </c>
      <c r="J100" s="7">
        <f>$B100*'Distributor Payments'!H$21</f>
        <v>1133.858970757399</v>
      </c>
      <c r="K100" s="7">
        <f>$B100*'Distributor Payments'!I$21</f>
        <v>1133.8589707465237</v>
      </c>
      <c r="L100" s="7">
        <f>$B100*'Distributor Payments'!J$21</f>
        <v>432.00026783314695</v>
      </c>
      <c r="M100" s="7">
        <f>$B100*'Distributor Payments'!K$21</f>
        <v>1333.5547593062142</v>
      </c>
      <c r="N100" s="7">
        <f>$B100*'Distributor Payments'!L$21</f>
        <v>1333.5547593062142</v>
      </c>
      <c r="O100" s="7">
        <f>$B100*'Distributor Payments'!M$21</f>
        <v>1333.5547593062142</v>
      </c>
      <c r="P100" s="7">
        <f>$B100*'Distributor Payments'!N$21</f>
        <v>1120.987359400033</v>
      </c>
      <c r="Q100" s="7">
        <f>$B100*'Distributor Payments'!O$21</f>
        <v>1120.987359400033</v>
      </c>
      <c r="R100" s="7">
        <f>$B100*'Distributor Payments'!P$21</f>
        <v>1120.987359400033</v>
      </c>
      <c r="S100" s="7">
        <f>$B100*'Distributor Payments'!Q$21</f>
        <v>1120.987359400033</v>
      </c>
      <c r="T100" s="7">
        <f>$B100*'Distributor Payments'!R$21</f>
        <v>1120.987359400033</v>
      </c>
      <c r="U100" s="7">
        <f>$B100*'Distributor Payments'!S$21</f>
        <v>1120.987359400033</v>
      </c>
      <c r="V100" s="7">
        <f>$B100*'Distributor Payments'!T$21</f>
        <v>1120.987359400033</v>
      </c>
      <c r="W100" s="7">
        <f>$B100*'Distributor Payments'!U$21</f>
        <v>1120.987359400033</v>
      </c>
      <c r="X100" s="7">
        <f>B100*'Distributor Payments'!$V$21</f>
        <v>274.38974712478273</v>
      </c>
      <c r="Y100" s="7">
        <v>0</v>
      </c>
      <c r="Z100" s="7">
        <f t="shared" si="1"/>
        <v>19171.871109580763</v>
      </c>
    </row>
    <row r="101" spans="1:26" customFormat="1" x14ac:dyDescent="0.35">
      <c r="A101" s="3" t="s">
        <v>132</v>
      </c>
      <c r="B101" s="6">
        <v>2.0155047369405737E-3</v>
      </c>
      <c r="C101" s="8" t="s">
        <v>132</v>
      </c>
      <c r="D101" s="33" t="s">
        <v>336</v>
      </c>
      <c r="E101" s="25">
        <v>14984.08</v>
      </c>
      <c r="F101" s="25">
        <v>16335.58</v>
      </c>
      <c r="G101" s="28">
        <v>16335.58</v>
      </c>
      <c r="H101" s="28">
        <v>33850.480000000003</v>
      </c>
      <c r="I101" s="28">
        <v>14899.21</v>
      </c>
      <c r="J101" s="7">
        <f>$B101*'Distributor Payments'!H$21</f>
        <v>33850.478203540544</v>
      </c>
      <c r="K101" s="7">
        <f>$B101*'Distributor Payments'!I$21</f>
        <v>33850.478203215876</v>
      </c>
      <c r="L101" s="7">
        <f>$B101*'Distributor Payments'!J$21</f>
        <v>12897.032194789992</v>
      </c>
      <c r="M101" s="7">
        <f>$B101*'Distributor Payments'!K$21</f>
        <v>39812.240743634116</v>
      </c>
      <c r="N101" s="7">
        <f>$B101*'Distributor Payments'!L$21</f>
        <v>39812.240743634116</v>
      </c>
      <c r="O101" s="7">
        <f>$B101*'Distributor Payments'!M$21</f>
        <v>39812.240743634116</v>
      </c>
      <c r="P101" s="7">
        <f>$B101*'Distributor Payments'!N$21</f>
        <v>33466.206251795156</v>
      </c>
      <c r="Q101" s="7">
        <f>$B101*'Distributor Payments'!O$21</f>
        <v>33466.206251795156</v>
      </c>
      <c r="R101" s="7">
        <f>$B101*'Distributor Payments'!P$21</f>
        <v>33466.206251795156</v>
      </c>
      <c r="S101" s="7">
        <f>$B101*'Distributor Payments'!Q$21</f>
        <v>33466.206251795156</v>
      </c>
      <c r="T101" s="7">
        <f>$B101*'Distributor Payments'!R$21</f>
        <v>33466.206251795156</v>
      </c>
      <c r="U101" s="7">
        <f>$B101*'Distributor Payments'!S$21</f>
        <v>33466.206251795156</v>
      </c>
      <c r="V101" s="7">
        <f>$B101*'Distributor Payments'!T$21</f>
        <v>33466.206251795156</v>
      </c>
      <c r="W101" s="7">
        <f>$B101*'Distributor Payments'!U$21</f>
        <v>33466.206251795156</v>
      </c>
      <c r="X101" s="7">
        <f>B101*'Distributor Payments'!$V$21</f>
        <v>8191.6926124578613</v>
      </c>
      <c r="Y101" s="7">
        <v>0</v>
      </c>
      <c r="Z101" s="7">
        <f t="shared" si="1"/>
        <v>572360.983459268</v>
      </c>
    </row>
    <row r="102" spans="1:26" customFormat="1" x14ac:dyDescent="0.35">
      <c r="A102" s="3" t="s">
        <v>133</v>
      </c>
      <c r="B102" s="6">
        <v>6.9991056653279115E-4</v>
      </c>
      <c r="C102" s="8" t="s">
        <v>133</v>
      </c>
      <c r="D102" s="33" t="s">
        <v>336</v>
      </c>
      <c r="E102" s="25">
        <v>5203.42</v>
      </c>
      <c r="F102" s="25">
        <v>5672.74</v>
      </c>
      <c r="G102" s="28">
        <v>5672.74</v>
      </c>
      <c r="H102" s="28">
        <v>11755.02</v>
      </c>
      <c r="I102" s="28">
        <v>5173.95</v>
      </c>
      <c r="J102" s="7">
        <f>$B102*'Distributor Payments'!H$21</f>
        <v>11755.024407836218</v>
      </c>
      <c r="K102" s="7">
        <f>$B102*'Distributor Payments'!I$21</f>
        <v>11755.024407723473</v>
      </c>
      <c r="L102" s="7">
        <f>$B102*'Distributor Payments'!J$21</f>
        <v>4478.6642991220424</v>
      </c>
      <c r="M102" s="7">
        <f>$B102*'Distributor Payments'!K$21</f>
        <v>13825.324973492441</v>
      </c>
      <c r="N102" s="7">
        <f>$B102*'Distributor Payments'!L$21</f>
        <v>13825.324973492441</v>
      </c>
      <c r="O102" s="7">
        <f>$B102*'Distributor Payments'!M$21</f>
        <v>13825.324973492441</v>
      </c>
      <c r="P102" s="7">
        <f>$B102*'Distributor Payments'!N$21</f>
        <v>11621.580911267198</v>
      </c>
      <c r="Q102" s="7">
        <f>$B102*'Distributor Payments'!O$21</f>
        <v>11621.580911267198</v>
      </c>
      <c r="R102" s="7">
        <f>$B102*'Distributor Payments'!P$21</f>
        <v>11621.580911267198</v>
      </c>
      <c r="S102" s="7">
        <f>$B102*'Distributor Payments'!Q$21</f>
        <v>11621.580911267198</v>
      </c>
      <c r="T102" s="7">
        <f>$B102*'Distributor Payments'!R$21</f>
        <v>11621.580911267198</v>
      </c>
      <c r="U102" s="7">
        <f>$B102*'Distributor Payments'!S$21</f>
        <v>11621.580911267198</v>
      </c>
      <c r="V102" s="7">
        <f>$B102*'Distributor Payments'!T$21</f>
        <v>11621.580911267198</v>
      </c>
      <c r="W102" s="7">
        <f>$B102*'Distributor Payments'!U$21</f>
        <v>11621.580911267198</v>
      </c>
      <c r="X102" s="7">
        <f>B102*'Distributor Payments'!$V$21</f>
        <v>2844.6731541553854</v>
      </c>
      <c r="Y102" s="7">
        <v>0</v>
      </c>
      <c r="Z102" s="7">
        <f t="shared" si="1"/>
        <v>198759.87847945205</v>
      </c>
    </row>
    <row r="103" spans="1:26" customFormat="1" x14ac:dyDescent="0.35">
      <c r="A103" s="3" t="s">
        <v>63</v>
      </c>
      <c r="B103" s="6">
        <v>1.96679122158815E-4</v>
      </c>
      <c r="C103" s="8" t="s">
        <v>134</v>
      </c>
      <c r="D103" s="33" t="s">
        <v>336</v>
      </c>
      <c r="E103" s="25">
        <v>1462.19</v>
      </c>
      <c r="F103" s="29">
        <v>1594.08</v>
      </c>
      <c r="G103" s="28">
        <v>1594.08</v>
      </c>
      <c r="H103" s="28">
        <v>3303.23</v>
      </c>
      <c r="I103" s="28">
        <v>1453.91</v>
      </c>
      <c r="J103" s="7">
        <f>$B103*'Distributor Payments'!H$21</f>
        <v>3303.233287277932</v>
      </c>
      <c r="K103" s="7">
        <f>$B103*'Distributor Payments'!I$21</f>
        <v>3303.2332872462498</v>
      </c>
      <c r="L103" s="7">
        <f>$B103*'Distributor Payments'!J$21</f>
        <v>1258.5318823788309</v>
      </c>
      <c r="M103" s="7">
        <f>$B103*'Distributor Payments'!K$21</f>
        <v>3885.0003262801742</v>
      </c>
      <c r="N103" s="7">
        <f>$B103*'Distributor Payments'!L$21</f>
        <v>3885.0003262801742</v>
      </c>
      <c r="O103" s="7">
        <f>$B103*'Distributor Payments'!M$21</f>
        <v>3885.0003262801742</v>
      </c>
      <c r="P103" s="7">
        <f>$B103*'Distributor Payments'!N$21</f>
        <v>3265.7348538809156</v>
      </c>
      <c r="Q103" s="7">
        <f>$B103*'Distributor Payments'!O$21</f>
        <v>3265.7348538809156</v>
      </c>
      <c r="R103" s="7">
        <f>$B103*'Distributor Payments'!P$21</f>
        <v>3265.7348538809156</v>
      </c>
      <c r="S103" s="7">
        <f>$B103*'Distributor Payments'!Q$21</f>
        <v>3265.7348538809156</v>
      </c>
      <c r="T103" s="7">
        <f>$B103*'Distributor Payments'!R$21</f>
        <v>3265.7348538809156</v>
      </c>
      <c r="U103" s="7">
        <f>$B103*'Distributor Payments'!S$21</f>
        <v>3265.7348538809156</v>
      </c>
      <c r="V103" s="7">
        <f>$B103*'Distributor Payments'!T$21</f>
        <v>3265.7348538809156</v>
      </c>
      <c r="W103" s="7">
        <f>$B103*'Distributor Payments'!U$21</f>
        <v>3265.7348538809156</v>
      </c>
      <c r="X103" s="7">
        <f>B103*'Distributor Payments'!$V$21</f>
        <v>799.37044179746113</v>
      </c>
      <c r="Y103" s="7">
        <v>0</v>
      </c>
      <c r="Z103" s="7">
        <f t="shared" si="1"/>
        <v>55852.738708588317</v>
      </c>
    </row>
    <row r="104" spans="1:26" customFormat="1" x14ac:dyDescent="0.35">
      <c r="A104" s="3" t="s">
        <v>24</v>
      </c>
      <c r="B104" s="6">
        <v>1.0569279873332567E-4</v>
      </c>
      <c r="C104" s="8" t="s">
        <v>135</v>
      </c>
      <c r="D104" s="33" t="s">
        <v>336</v>
      </c>
      <c r="E104" s="25">
        <v>785.76</v>
      </c>
      <c r="F104" s="29">
        <v>856.64</v>
      </c>
      <c r="G104" s="28">
        <v>856.64</v>
      </c>
      <c r="H104" s="28">
        <v>1775.11</v>
      </c>
      <c r="I104" s="28">
        <v>781.31</v>
      </c>
      <c r="J104" s="7">
        <f>$B104*'Distributor Payments'!H$21</f>
        <v>1775.1145478449585</v>
      </c>
      <c r="K104" s="7">
        <f>$B104*'Distributor Payments'!I$21</f>
        <v>1775.1145478279327</v>
      </c>
      <c r="L104" s="7">
        <f>$B104*'Distributor Payments'!J$21</f>
        <v>676.31864268912966</v>
      </c>
      <c r="M104" s="7">
        <f>$B104*'Distributor Payments'!K$21</f>
        <v>2087.7485777716115</v>
      </c>
      <c r="N104" s="7">
        <f>$B104*'Distributor Payments'!L$21</f>
        <v>2087.7485777716115</v>
      </c>
      <c r="O104" s="7">
        <f>$B104*'Distributor Payments'!M$21</f>
        <v>2087.7485777716115</v>
      </c>
      <c r="P104" s="7">
        <f>$B104*'Distributor Payments'!N$21</f>
        <v>1754.9633781105035</v>
      </c>
      <c r="Q104" s="7">
        <f>$B104*'Distributor Payments'!O$21</f>
        <v>1754.9633781105035</v>
      </c>
      <c r="R104" s="7">
        <f>$B104*'Distributor Payments'!P$21</f>
        <v>1754.9633781105035</v>
      </c>
      <c r="S104" s="7">
        <f>$B104*'Distributor Payments'!Q$21</f>
        <v>1754.9633781105035</v>
      </c>
      <c r="T104" s="7">
        <f>$B104*'Distributor Payments'!R$21</f>
        <v>1754.9633781105035</v>
      </c>
      <c r="U104" s="7">
        <f>$B104*'Distributor Payments'!S$21</f>
        <v>1754.9633781105035</v>
      </c>
      <c r="V104" s="7">
        <f>$B104*'Distributor Payments'!T$21</f>
        <v>1754.9633781105035</v>
      </c>
      <c r="W104" s="7">
        <f>$B104*'Distributor Payments'!U$21</f>
        <v>1754.9633781105035</v>
      </c>
      <c r="X104" s="7">
        <f>B104*'Distributor Payments'!$V$21</f>
        <v>429.57126455977533</v>
      </c>
      <c r="Y104" s="7">
        <v>0</v>
      </c>
      <c r="Z104" s="7">
        <f t="shared" si="1"/>
        <v>30014.531761120659</v>
      </c>
    </row>
    <row r="105" spans="1:26" customFormat="1" x14ac:dyDescent="0.35">
      <c r="A105" s="3" t="s">
        <v>24</v>
      </c>
      <c r="B105" s="6">
        <v>3.2592975466104576E-4</v>
      </c>
      <c r="C105" s="8" t="s">
        <v>136</v>
      </c>
      <c r="D105" s="33" t="s">
        <v>336</v>
      </c>
      <c r="E105" s="25">
        <v>2423.09</v>
      </c>
      <c r="F105" s="25">
        <v>2641.65</v>
      </c>
      <c r="G105" s="28">
        <v>2641.65</v>
      </c>
      <c r="H105" s="28">
        <v>5474</v>
      </c>
      <c r="I105" s="28">
        <v>2409.37</v>
      </c>
      <c r="J105" s="7">
        <f>$B105*'Distributor Payments'!H$21</f>
        <v>5474.0025432966004</v>
      </c>
      <c r="K105" s="7">
        <f>$B105*'Distributor Payments'!I$21</f>
        <v>5474.002543244098</v>
      </c>
      <c r="L105" s="7">
        <f>$B105*'Distributor Payments'!J$21</f>
        <v>2085.594968873273</v>
      </c>
      <c r="M105" s="7">
        <f>$B105*'Distributor Payments'!K$21</f>
        <v>6438.0865101691643</v>
      </c>
      <c r="N105" s="7">
        <f>$B105*'Distributor Payments'!L$21</f>
        <v>6438.0865101691643</v>
      </c>
      <c r="O105" s="7">
        <f>$B105*'Distributor Payments'!M$21</f>
        <v>6438.0865101691643</v>
      </c>
      <c r="P105" s="7">
        <f>$B105*'Distributor Payments'!N$21</f>
        <v>5411.8614524522245</v>
      </c>
      <c r="Q105" s="7">
        <f>$B105*'Distributor Payments'!O$21</f>
        <v>5411.8614524522245</v>
      </c>
      <c r="R105" s="7">
        <f>$B105*'Distributor Payments'!P$21</f>
        <v>5411.8614524522245</v>
      </c>
      <c r="S105" s="7">
        <f>$B105*'Distributor Payments'!Q$21</f>
        <v>5411.8614524522245</v>
      </c>
      <c r="T105" s="7">
        <f>$B105*'Distributor Payments'!R$21</f>
        <v>5411.8614524522245</v>
      </c>
      <c r="U105" s="7">
        <f>$B105*'Distributor Payments'!S$21</f>
        <v>5411.8614524522245</v>
      </c>
      <c r="V105" s="7">
        <f>$B105*'Distributor Payments'!T$21</f>
        <v>5411.8614524522245</v>
      </c>
      <c r="W105" s="7">
        <f>$B105*'Distributor Payments'!U$21</f>
        <v>5411.8614524522245</v>
      </c>
      <c r="X105" s="7">
        <f>B105*'Distributor Payments'!$V$21</f>
        <v>1324.6887067553507</v>
      </c>
      <c r="Y105" s="7">
        <v>0</v>
      </c>
      <c r="Z105" s="7">
        <f t="shared" si="1"/>
        <v>92557.199912294629</v>
      </c>
    </row>
    <row r="106" spans="1:26" customFormat="1" x14ac:dyDescent="0.35">
      <c r="A106" s="3" t="s">
        <v>14</v>
      </c>
      <c r="B106" s="6">
        <v>3.5213129310977368E-5</v>
      </c>
      <c r="C106" s="8" t="s">
        <v>137</v>
      </c>
      <c r="D106" s="33" t="s">
        <v>336</v>
      </c>
      <c r="E106" s="25">
        <v>261.79000000000002</v>
      </c>
      <c r="F106" s="29">
        <v>285.39999999999998</v>
      </c>
      <c r="G106" s="28">
        <v>285.39999999999998</v>
      </c>
      <c r="H106" s="28">
        <v>591.41</v>
      </c>
      <c r="I106" s="28">
        <v>260.31</v>
      </c>
      <c r="J106" s="7">
        <f>$B106*'Distributor Payments'!H$21</f>
        <v>591.40583714482193</v>
      </c>
      <c r="K106" s="7">
        <f>$B106*'Distributor Payments'!I$21</f>
        <v>591.40583713914964</v>
      </c>
      <c r="L106" s="7">
        <f>$B106*'Distributor Payments'!J$21</f>
        <v>225.32562393891735</v>
      </c>
      <c r="M106" s="7">
        <f>$B106*'Distributor Payments'!K$21</f>
        <v>695.56451829201762</v>
      </c>
      <c r="N106" s="7">
        <f>$B106*'Distributor Payments'!L$21</f>
        <v>695.56451829201762</v>
      </c>
      <c r="O106" s="7">
        <f>$B106*'Distributor Payments'!M$21</f>
        <v>695.56451829201762</v>
      </c>
      <c r="P106" s="7">
        <f>$B106*'Distributor Payments'!N$21</f>
        <v>584.69217496413569</v>
      </c>
      <c r="Q106" s="7">
        <f>$B106*'Distributor Payments'!O$21</f>
        <v>584.69217496413569</v>
      </c>
      <c r="R106" s="7">
        <f>$B106*'Distributor Payments'!P$21</f>
        <v>584.69217496413569</v>
      </c>
      <c r="S106" s="7">
        <f>$B106*'Distributor Payments'!Q$21</f>
        <v>584.69217496413569</v>
      </c>
      <c r="T106" s="7">
        <f>$B106*'Distributor Payments'!R$21</f>
        <v>584.69217496413569</v>
      </c>
      <c r="U106" s="7">
        <f>$B106*'Distributor Payments'!S$21</f>
        <v>584.69217496413569</v>
      </c>
      <c r="V106" s="7">
        <f>$B106*'Distributor Payments'!T$21</f>
        <v>584.69217496413569</v>
      </c>
      <c r="W106" s="7">
        <f>$B106*'Distributor Payments'!U$21</f>
        <v>584.69217496413569</v>
      </c>
      <c r="X106" s="7">
        <f>B106*'Distributor Payments'!$V$21</f>
        <v>143.1180616703069</v>
      </c>
      <c r="Y106" s="7">
        <v>0</v>
      </c>
      <c r="Z106" s="7">
        <f t="shared" si="1"/>
        <v>9999.7963144823352</v>
      </c>
    </row>
    <row r="107" spans="1:26" customFormat="1" x14ac:dyDescent="0.35">
      <c r="A107" s="3" t="s">
        <v>14</v>
      </c>
      <c r="B107" s="6">
        <v>1.3440310107840001E-2</v>
      </c>
      <c r="C107" s="8" t="s">
        <v>138</v>
      </c>
      <c r="D107" s="33" t="s">
        <v>336</v>
      </c>
      <c r="E107" s="25">
        <v>96939.06</v>
      </c>
      <c r="F107" s="25">
        <v>105682.5</v>
      </c>
      <c r="G107" s="28">
        <v>105682.5</v>
      </c>
      <c r="H107" s="28">
        <v>225730.52</v>
      </c>
      <c r="I107" s="28">
        <v>99354.74</v>
      </c>
      <c r="J107" s="7">
        <f>$B107*'Distributor Payments'!H$21</f>
        <v>225730.51604178787</v>
      </c>
      <c r="K107" s="7">
        <f>$B107*'Distributor Payments'!I$21</f>
        <v>225730.51603962283</v>
      </c>
      <c r="L107" s="7">
        <f>$B107*'Distributor Payments'!J$21</f>
        <v>86003.326606860122</v>
      </c>
      <c r="M107" s="7">
        <f>$B107*'Distributor Payments'!K$21</f>
        <v>265486.28334888502</v>
      </c>
      <c r="N107" s="7">
        <f>$B107*'Distributor Payments'!L$21</f>
        <v>265486.28334888502</v>
      </c>
      <c r="O107" s="7">
        <f>$B107*'Distributor Payments'!M$21</f>
        <v>265486.28334888502</v>
      </c>
      <c r="P107" s="7">
        <f>$B107*'Distributor Payments'!N$21</f>
        <v>223168.01440011835</v>
      </c>
      <c r="Q107" s="7">
        <f>$B107*'Distributor Payments'!O$21</f>
        <v>223168.01440011835</v>
      </c>
      <c r="R107" s="7">
        <f>$B107*'Distributor Payments'!P$21</f>
        <v>223168.01440011835</v>
      </c>
      <c r="S107" s="7">
        <f>$B107*'Distributor Payments'!Q$21</f>
        <v>223168.01440011835</v>
      </c>
      <c r="T107" s="7">
        <f>$B107*'Distributor Payments'!R$21</f>
        <v>223168.01440011835</v>
      </c>
      <c r="U107" s="7">
        <f>$B107*'Distributor Payments'!S$21</f>
        <v>223168.01440011835</v>
      </c>
      <c r="V107" s="7">
        <f>$B107*'Distributor Payments'!T$21</f>
        <v>223168.01440011835</v>
      </c>
      <c r="W107" s="7">
        <f>$B107*'Distributor Payments'!U$21</f>
        <v>223168.01440011835</v>
      </c>
      <c r="X107" s="7">
        <f>B107*'Distributor Payments'!$V$21</f>
        <v>54625.963909496822</v>
      </c>
      <c r="Y107" s="7">
        <v>0</v>
      </c>
      <c r="Z107" s="7">
        <f t="shared" si="1"/>
        <v>3807282.6078453707</v>
      </c>
    </row>
    <row r="108" spans="1:26" x14ac:dyDescent="0.35">
      <c r="A108" s="3" t="s">
        <v>99</v>
      </c>
      <c r="B108" s="6">
        <v>9.5635806226399989E-3</v>
      </c>
      <c r="C108" s="8" t="s">
        <v>99</v>
      </c>
      <c r="D108" s="33" t="s">
        <v>336</v>
      </c>
      <c r="E108" s="30">
        <v>68977.91</v>
      </c>
      <c r="F108" s="31">
        <v>75199.39</v>
      </c>
      <c r="G108" s="28">
        <v>75199.39</v>
      </c>
      <c r="H108" s="28">
        <v>160620.70000000001</v>
      </c>
      <c r="I108" s="28">
        <v>70696.81</v>
      </c>
      <c r="J108" s="7">
        <f>$B108*'Distributor Payments'!H$21</f>
        <v>160620.69787336999</v>
      </c>
      <c r="K108" s="7">
        <f>$B108*'Distributor Payments'!I$21</f>
        <v>160620.69787182947</v>
      </c>
      <c r="L108" s="7">
        <f>$B108*'Distributor Payments'!J$21</f>
        <v>61196.485886152725</v>
      </c>
      <c r="M108" s="7">
        <f>$B108*'Distributor Payments'!K$21</f>
        <v>188909.29261602825</v>
      </c>
      <c r="N108" s="7">
        <f>$B108*'Distributor Payments'!L$21</f>
        <v>188909.29261602825</v>
      </c>
      <c r="O108" s="7">
        <f>$B108*'Distributor Payments'!M$21</f>
        <v>188909.29261602825</v>
      </c>
      <c r="P108" s="7">
        <f>$B108*'Distributor Payments'!N$21</f>
        <v>158797.32543262115</v>
      </c>
      <c r="Q108" s="7">
        <f>$B108*'Distributor Payments'!O$21</f>
        <v>158797.32543262115</v>
      </c>
      <c r="R108" s="7">
        <f>$B108*'Distributor Payments'!P$21</f>
        <v>158797.32543262115</v>
      </c>
      <c r="S108" s="7">
        <f>$B108*'Distributor Payments'!Q$21</f>
        <v>158797.32543262115</v>
      </c>
      <c r="T108" s="7">
        <f>$B108*'Distributor Payments'!R$21</f>
        <v>158797.32543262115</v>
      </c>
      <c r="U108" s="7">
        <f>$B108*'Distributor Payments'!S$21</f>
        <v>158797.32543262115</v>
      </c>
      <c r="V108" s="7">
        <f>$B108*'Distributor Payments'!T$21</f>
        <v>158797.32543262115</v>
      </c>
      <c r="W108" s="7">
        <f>$B108*'Distributor Payments'!U$21</f>
        <v>158797.32543262115</v>
      </c>
      <c r="X108" s="7">
        <f>B108*'Distributor Payments'!$V$21</f>
        <v>38869.624714474245</v>
      </c>
      <c r="Y108" s="7">
        <v>0</v>
      </c>
      <c r="Z108" s="7">
        <f t="shared" si="1"/>
        <v>2709108.1876548799</v>
      </c>
    </row>
    <row r="109" spans="1:26" customFormat="1" x14ac:dyDescent="0.35">
      <c r="A109" s="3" t="s">
        <v>14</v>
      </c>
      <c r="B109" s="6">
        <v>2.605869090966191E-4</v>
      </c>
      <c r="C109" s="8" t="s">
        <v>139</v>
      </c>
      <c r="D109" s="33" t="s">
        <v>336</v>
      </c>
      <c r="E109" s="25">
        <v>1937.31</v>
      </c>
      <c r="F109" s="25">
        <v>2112.0500000000002</v>
      </c>
      <c r="G109" s="28">
        <v>2112.0500000000002</v>
      </c>
      <c r="H109" s="28">
        <v>4376.57</v>
      </c>
      <c r="I109" s="28">
        <v>1926.34</v>
      </c>
      <c r="J109" s="7">
        <f>$B109*'Distributor Payments'!H$21</f>
        <v>4376.5669833616421</v>
      </c>
      <c r="K109" s="7">
        <f>$B109*'Distributor Payments'!I$21</f>
        <v>4376.5669833196653</v>
      </c>
      <c r="L109" s="7">
        <f>$B109*'Distributor Payments'!J$21</f>
        <v>1667.4720205626593</v>
      </c>
      <c r="M109" s="7">
        <f>$B109*'Distributor Payments'!K$21</f>
        <v>5147.3700703587019</v>
      </c>
      <c r="N109" s="7">
        <f>$B109*'Distributor Payments'!L$21</f>
        <v>5147.3700703587019</v>
      </c>
      <c r="O109" s="7">
        <f>$B109*'Distributor Payments'!M$21</f>
        <v>5147.3700703587019</v>
      </c>
      <c r="P109" s="7">
        <f>$B109*'Distributor Payments'!N$21</f>
        <v>4326.8840238912235</v>
      </c>
      <c r="Q109" s="7">
        <f>$B109*'Distributor Payments'!O$21</f>
        <v>4326.8840238912235</v>
      </c>
      <c r="R109" s="7">
        <f>$B109*'Distributor Payments'!P$21</f>
        <v>4326.8840238912235</v>
      </c>
      <c r="S109" s="7">
        <f>$B109*'Distributor Payments'!Q$21</f>
        <v>4326.8840238912235</v>
      </c>
      <c r="T109" s="7">
        <f>$B109*'Distributor Payments'!R$21</f>
        <v>4326.8840238912235</v>
      </c>
      <c r="U109" s="7">
        <f>$B109*'Distributor Payments'!S$21</f>
        <v>4326.8840238912235</v>
      </c>
      <c r="V109" s="7">
        <f>$B109*'Distributor Payments'!T$21</f>
        <v>4326.8840238912235</v>
      </c>
      <c r="W109" s="7">
        <f>$B109*'Distributor Payments'!U$21</f>
        <v>4326.8840238912235</v>
      </c>
      <c r="X109" s="7">
        <f>B109*'Distributor Payments'!$V$21</f>
        <v>1059.1132925791492</v>
      </c>
      <c r="Y109" s="7">
        <v>0</v>
      </c>
      <c r="Z109" s="7">
        <f t="shared" si="1"/>
        <v>74001.221682029005</v>
      </c>
    </row>
    <row r="110" spans="1:26" customFormat="1" x14ac:dyDescent="0.35">
      <c r="A110" s="3" t="s">
        <v>140</v>
      </c>
      <c r="B110" s="6">
        <v>3.5251722027200001E-3</v>
      </c>
      <c r="C110" s="8" t="s">
        <v>140</v>
      </c>
      <c r="D110" s="33" t="s">
        <v>336</v>
      </c>
      <c r="E110" s="25">
        <v>25425.52</v>
      </c>
      <c r="F110" s="25">
        <v>27718.78</v>
      </c>
      <c r="G110" s="28">
        <v>27718.78</v>
      </c>
      <c r="H110" s="28">
        <v>59205.4</v>
      </c>
      <c r="I110" s="28">
        <v>26059.11</v>
      </c>
      <c r="J110" s="7">
        <f>$B110*'Distributor Payments'!H$21</f>
        <v>59205.400327183022</v>
      </c>
      <c r="K110" s="7">
        <f>$B110*'Distributor Payments'!I$21</f>
        <v>59205.40032661517</v>
      </c>
      <c r="L110" s="7">
        <f>$B110*'Distributor Payments'!J$21</f>
        <v>22557.257523329299</v>
      </c>
      <c r="M110" s="7">
        <f>$B110*'Distributor Payments'!K$21</f>
        <v>69632.683974978732</v>
      </c>
      <c r="N110" s="7">
        <f>$B110*'Distributor Payments'!L$21</f>
        <v>69632.683974978732</v>
      </c>
      <c r="O110" s="7">
        <f>$B110*'Distributor Payments'!M$21</f>
        <v>69632.683974978732</v>
      </c>
      <c r="P110" s="7">
        <f>$B110*'Distributor Payments'!N$21</f>
        <v>58533.298308393401</v>
      </c>
      <c r="Q110" s="7">
        <f>$B110*'Distributor Payments'!O$21</f>
        <v>58533.298308393401</v>
      </c>
      <c r="R110" s="7">
        <f>$B110*'Distributor Payments'!P$21</f>
        <v>58533.298308393401</v>
      </c>
      <c r="S110" s="7">
        <f>$B110*'Distributor Payments'!Q$21</f>
        <v>58533.298308393401</v>
      </c>
      <c r="T110" s="7">
        <f>$B110*'Distributor Payments'!R$21</f>
        <v>58533.298308393401</v>
      </c>
      <c r="U110" s="7">
        <f>$B110*'Distributor Payments'!S$21</f>
        <v>58533.298308393401</v>
      </c>
      <c r="V110" s="7">
        <f>$B110*'Distributor Payments'!T$21</f>
        <v>58533.298308393401</v>
      </c>
      <c r="W110" s="7">
        <f>$B110*'Distributor Payments'!U$21</f>
        <v>58533.298308393401</v>
      </c>
      <c r="X110" s="7">
        <f>B110*'Distributor Payments'!$V$21</f>
        <v>14327.491551568932</v>
      </c>
      <c r="Y110" s="7">
        <v>0</v>
      </c>
      <c r="Z110" s="7">
        <f t="shared" si="1"/>
        <v>998587.57812078029</v>
      </c>
    </row>
    <row r="111" spans="1:26" customFormat="1" x14ac:dyDescent="0.35">
      <c r="A111" s="3" t="s">
        <v>60</v>
      </c>
      <c r="B111" s="6">
        <v>3.0152819524688503E-4</v>
      </c>
      <c r="C111" s="8" t="s">
        <v>141</v>
      </c>
      <c r="D111" s="33" t="s">
        <v>336</v>
      </c>
      <c r="E111" s="25">
        <v>2241.6799999999998</v>
      </c>
      <c r="F111" s="25">
        <v>2443.87</v>
      </c>
      <c r="G111" s="28">
        <v>2443.87</v>
      </c>
      <c r="H111" s="28">
        <v>5064.18</v>
      </c>
      <c r="I111" s="28">
        <v>2228.9899999999998</v>
      </c>
      <c r="J111" s="7">
        <f>$B111*'Distributor Payments'!H$21</f>
        <v>5064.177431034509</v>
      </c>
      <c r="K111" s="7">
        <f>$B111*'Distributor Payments'!I$21</f>
        <v>5064.1774309859375</v>
      </c>
      <c r="L111" s="7">
        <f>$B111*'Distributor Payments'!J$21</f>
        <v>1929.451601110605</v>
      </c>
      <c r="M111" s="7">
        <f>$B111*'Distributor Payments'!K$21</f>
        <v>5956.0828015639872</v>
      </c>
      <c r="N111" s="7">
        <f>$B111*'Distributor Payments'!L$21</f>
        <v>5956.0828015639872</v>
      </c>
      <c r="O111" s="7">
        <f>$B111*'Distributor Payments'!M$21</f>
        <v>5956.0828015639872</v>
      </c>
      <c r="P111" s="7">
        <f>$B111*'Distributor Payments'!N$21</f>
        <v>5006.6886908841552</v>
      </c>
      <c r="Q111" s="7">
        <f>$B111*'Distributor Payments'!O$21</f>
        <v>5006.6886908841552</v>
      </c>
      <c r="R111" s="7">
        <f>$B111*'Distributor Payments'!P$21</f>
        <v>5006.6886908841552</v>
      </c>
      <c r="S111" s="7">
        <f>$B111*'Distributor Payments'!Q$21</f>
        <v>5006.6886908841552</v>
      </c>
      <c r="T111" s="7">
        <f>$B111*'Distributor Payments'!R$21</f>
        <v>5006.6886908841552</v>
      </c>
      <c r="U111" s="7">
        <f>$B111*'Distributor Payments'!S$21</f>
        <v>5006.6886908841552</v>
      </c>
      <c r="V111" s="7">
        <f>$B111*'Distributor Payments'!T$21</f>
        <v>5006.6886908841552</v>
      </c>
      <c r="W111" s="7">
        <f>$B111*'Distributor Payments'!U$21</f>
        <v>5006.6886908841552</v>
      </c>
      <c r="X111" s="7">
        <f>B111*'Distributor Payments'!$V$21</f>
        <v>1225.5125201050259</v>
      </c>
      <c r="Y111" s="7">
        <v>0</v>
      </c>
      <c r="Z111" s="7">
        <f t="shared" si="1"/>
        <v>85627.666915001275</v>
      </c>
    </row>
    <row r="112" spans="1:26" customFormat="1" x14ac:dyDescent="0.35">
      <c r="A112" s="3" t="s">
        <v>22</v>
      </c>
      <c r="B112" s="6">
        <v>2.0079323745357907E-4</v>
      </c>
      <c r="C112" s="8" t="s">
        <v>142</v>
      </c>
      <c r="D112" s="33" t="s">
        <v>336</v>
      </c>
      <c r="E112" s="25">
        <v>1492.78</v>
      </c>
      <c r="F112" s="25">
        <v>1627.42</v>
      </c>
      <c r="G112" s="28">
        <v>1627.42</v>
      </c>
      <c r="H112" s="28">
        <v>3372.33</v>
      </c>
      <c r="I112" s="28">
        <v>1484.32</v>
      </c>
      <c r="J112" s="7">
        <f>$B112*'Distributor Payments'!H$21</f>
        <v>3372.330009086515</v>
      </c>
      <c r="K112" s="7">
        <f>$B112*'Distributor Payments'!I$21</f>
        <v>3372.3300090541702</v>
      </c>
      <c r="L112" s="7">
        <f>$B112*'Distributor Payments'!J$21</f>
        <v>1284.8577333863518</v>
      </c>
      <c r="M112" s="7">
        <f>$B112*'Distributor Payments'!K$21</f>
        <v>3966.2663960443379</v>
      </c>
      <c r="N112" s="7">
        <f>$B112*'Distributor Payments'!L$21</f>
        <v>3966.2663960443379</v>
      </c>
      <c r="O112" s="7">
        <f>$B112*'Distributor Payments'!M$21</f>
        <v>3966.2663960443379</v>
      </c>
      <c r="P112" s="7">
        <f>$B112*'Distributor Payments'!N$21</f>
        <v>3334.0471870026113</v>
      </c>
      <c r="Q112" s="7">
        <f>$B112*'Distributor Payments'!O$21</f>
        <v>3334.0471870026113</v>
      </c>
      <c r="R112" s="7">
        <f>$B112*'Distributor Payments'!P$21</f>
        <v>3334.0471870026113</v>
      </c>
      <c r="S112" s="7">
        <f>$B112*'Distributor Payments'!Q$21</f>
        <v>3334.0471870026113</v>
      </c>
      <c r="T112" s="7">
        <f>$B112*'Distributor Payments'!R$21</f>
        <v>3334.0471870026113</v>
      </c>
      <c r="U112" s="7">
        <f>$B112*'Distributor Payments'!S$21</f>
        <v>3334.0471870026113</v>
      </c>
      <c r="V112" s="7">
        <f>$B112*'Distributor Payments'!T$21</f>
        <v>3334.0471870026113</v>
      </c>
      <c r="W112" s="7">
        <f>$B112*'Distributor Payments'!U$21</f>
        <v>3334.0471870026113</v>
      </c>
      <c r="X112" s="7">
        <f>B112*'Distributor Payments'!$V$21</f>
        <v>816.09159717319892</v>
      </c>
      <c r="Y112" s="7">
        <v>0</v>
      </c>
      <c r="Z112" s="7">
        <f t="shared" si="1"/>
        <v>57021.056032854118</v>
      </c>
    </row>
    <row r="113" spans="1:26" customFormat="1" x14ac:dyDescent="0.35">
      <c r="A113" s="3" t="s">
        <v>22</v>
      </c>
      <c r="B113" s="6">
        <v>2.653632489777732E-4</v>
      </c>
      <c r="C113" s="8" t="s">
        <v>143</v>
      </c>
      <c r="D113" s="33" t="s">
        <v>336</v>
      </c>
      <c r="E113" s="25">
        <v>1972.82</v>
      </c>
      <c r="F113" s="25">
        <v>2150.7600000000002</v>
      </c>
      <c r="G113" s="28">
        <v>2150.7600000000002</v>
      </c>
      <c r="H113" s="28">
        <v>4456.79</v>
      </c>
      <c r="I113" s="28">
        <v>1961.64</v>
      </c>
      <c r="J113" s="7">
        <f>$B113*'Distributor Payments'!H$21</f>
        <v>4456.7857921177711</v>
      </c>
      <c r="K113" s="7">
        <f>$B113*'Distributor Payments'!I$21</f>
        <v>4456.7857920750248</v>
      </c>
      <c r="L113" s="7">
        <f>$B113*'Distributor Payments'!J$21</f>
        <v>1698.035386696946</v>
      </c>
      <c r="M113" s="7">
        <f>$B113*'Distributor Payments'!K$21</f>
        <v>5241.7170543854309</v>
      </c>
      <c r="N113" s="7">
        <f>$B113*'Distributor Payments'!L$21</f>
        <v>5241.7170543854309</v>
      </c>
      <c r="O113" s="7">
        <f>$B113*'Distributor Payments'!M$21</f>
        <v>5241.7170543854309</v>
      </c>
      <c r="P113" s="7">
        <f>$B113*'Distributor Payments'!N$21</f>
        <v>4406.1921855946857</v>
      </c>
      <c r="Q113" s="7">
        <f>$B113*'Distributor Payments'!O$21</f>
        <v>4406.1921855946857</v>
      </c>
      <c r="R113" s="7">
        <f>$B113*'Distributor Payments'!P$21</f>
        <v>4406.1921855946857</v>
      </c>
      <c r="S113" s="7">
        <f>$B113*'Distributor Payments'!Q$21</f>
        <v>4406.1921855946857</v>
      </c>
      <c r="T113" s="7">
        <f>$B113*'Distributor Payments'!R$21</f>
        <v>4406.1921855946857</v>
      </c>
      <c r="U113" s="7">
        <f>$B113*'Distributor Payments'!S$21</f>
        <v>4406.1921855946857</v>
      </c>
      <c r="V113" s="7">
        <f>$B113*'Distributor Payments'!T$21</f>
        <v>4406.1921855946857</v>
      </c>
      <c r="W113" s="7">
        <f>$B113*'Distributor Payments'!U$21</f>
        <v>4406.1921855946857</v>
      </c>
      <c r="X113" s="7">
        <f>B113*'Distributor Payments'!$V$21</f>
        <v>1078.5259525456197</v>
      </c>
      <c r="Y113" s="7">
        <v>0</v>
      </c>
      <c r="Z113" s="7">
        <f t="shared" si="1"/>
        <v>75357.591571349141</v>
      </c>
    </row>
    <row r="114" spans="1:26" customFormat="1" x14ac:dyDescent="0.35">
      <c r="A114" s="3" t="s">
        <v>22</v>
      </c>
      <c r="B114" s="6">
        <v>1.8910157056897247E-4</v>
      </c>
      <c r="C114" s="8" t="s">
        <v>144</v>
      </c>
      <c r="D114" s="33" t="s">
        <v>336</v>
      </c>
      <c r="E114" s="25">
        <v>1405.86</v>
      </c>
      <c r="F114" s="25">
        <v>1532.66</v>
      </c>
      <c r="G114" s="28">
        <v>1532.66</v>
      </c>
      <c r="H114" s="28">
        <v>3175.97</v>
      </c>
      <c r="I114" s="28">
        <v>1397.89</v>
      </c>
      <c r="J114" s="7">
        <f>$B114*'Distributor Payments'!H$21</f>
        <v>3175.9680220434147</v>
      </c>
      <c r="K114" s="7">
        <f>$B114*'Distributor Payments'!I$21</f>
        <v>3175.968022012953</v>
      </c>
      <c r="L114" s="7">
        <f>$B114*'Distributor Payments'!J$21</f>
        <v>1210.0438163273332</v>
      </c>
      <c r="M114" s="7">
        <f>$B114*'Distributor Payments'!K$21</f>
        <v>3735.3210411795844</v>
      </c>
      <c r="N114" s="7">
        <f>$B114*'Distributor Payments'!L$21</f>
        <v>3735.3210411795844</v>
      </c>
      <c r="O114" s="7">
        <f>$B114*'Distributor Payments'!M$21</f>
        <v>3735.3210411795844</v>
      </c>
      <c r="P114" s="7">
        <f>$B114*'Distributor Payments'!N$21</f>
        <v>3139.914308912003</v>
      </c>
      <c r="Q114" s="7">
        <f>$B114*'Distributor Payments'!O$21</f>
        <v>3139.914308912003</v>
      </c>
      <c r="R114" s="7">
        <f>$B114*'Distributor Payments'!P$21</f>
        <v>3139.914308912003</v>
      </c>
      <c r="S114" s="7">
        <f>$B114*'Distributor Payments'!Q$21</f>
        <v>3139.914308912003</v>
      </c>
      <c r="T114" s="7">
        <f>$B114*'Distributor Payments'!R$21</f>
        <v>3139.914308912003</v>
      </c>
      <c r="U114" s="7">
        <f>$B114*'Distributor Payments'!S$21</f>
        <v>3139.914308912003</v>
      </c>
      <c r="V114" s="7">
        <f>$B114*'Distributor Payments'!T$21</f>
        <v>3139.914308912003</v>
      </c>
      <c r="W114" s="7">
        <f>$B114*'Distributor Payments'!U$21</f>
        <v>3139.914308912003</v>
      </c>
      <c r="X114" s="7">
        <f>B114*'Distributor Payments'!$V$21</f>
        <v>768.57271046925064</v>
      </c>
      <c r="Y114" s="7">
        <v>0</v>
      </c>
      <c r="Z114" s="7">
        <f t="shared" si="1"/>
        <v>53700.870165687731</v>
      </c>
    </row>
    <row r="115" spans="1:26" customFormat="1" x14ac:dyDescent="0.35">
      <c r="A115" s="3" t="s">
        <v>60</v>
      </c>
      <c r="B115" s="6">
        <v>3.1803225690730543E-4</v>
      </c>
      <c r="C115" s="8" t="s">
        <v>145</v>
      </c>
      <c r="D115" s="33" t="s">
        <v>336</v>
      </c>
      <c r="E115" s="25">
        <v>2364.38</v>
      </c>
      <c r="F115" s="25">
        <v>2577.64</v>
      </c>
      <c r="G115" s="28">
        <v>2577.64</v>
      </c>
      <c r="H115" s="28">
        <v>5341.36</v>
      </c>
      <c r="I115" s="28">
        <v>2350.9899999999998</v>
      </c>
      <c r="J115" s="7">
        <f>$B115*'Distributor Payments'!H$21</f>
        <v>5341.3637701517182</v>
      </c>
      <c r="K115" s="7">
        <f>$B115*'Distributor Payments'!I$21</f>
        <v>5341.3637701004873</v>
      </c>
      <c r="L115" s="7">
        <f>$B115*'Distributor Payments'!J$21</f>
        <v>2035.0595963080468</v>
      </c>
      <c r="M115" s="7">
        <f>$B115*'Distributor Payments'!K$21</f>
        <v>6282.0873323545347</v>
      </c>
      <c r="N115" s="7">
        <f>$B115*'Distributor Payments'!L$21</f>
        <v>6282.0873323545347</v>
      </c>
      <c r="O115" s="7">
        <f>$B115*'Distributor Payments'!M$21</f>
        <v>6282.0873323545347</v>
      </c>
      <c r="P115" s="7">
        <f>$B115*'Distributor Payments'!N$21</f>
        <v>5280.7283998447892</v>
      </c>
      <c r="Q115" s="7">
        <f>$B115*'Distributor Payments'!O$21</f>
        <v>5280.7283998447892</v>
      </c>
      <c r="R115" s="7">
        <f>$B115*'Distributor Payments'!P$21</f>
        <v>5280.7283998447892</v>
      </c>
      <c r="S115" s="7">
        <f>$B115*'Distributor Payments'!Q$21</f>
        <v>5280.7283998447892</v>
      </c>
      <c r="T115" s="7">
        <f>$B115*'Distributor Payments'!R$21</f>
        <v>5280.7283998447892</v>
      </c>
      <c r="U115" s="7">
        <f>$B115*'Distributor Payments'!S$21</f>
        <v>5280.7283998447892</v>
      </c>
      <c r="V115" s="7">
        <f>$B115*'Distributor Payments'!T$21</f>
        <v>5280.7283998447892</v>
      </c>
      <c r="W115" s="7">
        <f>$B115*'Distributor Payments'!U$21</f>
        <v>5280.7283998447892</v>
      </c>
      <c r="X115" s="7">
        <f>B115*'Distributor Payments'!$V$21</f>
        <v>1292.5906060560594</v>
      </c>
      <c r="Y115" s="7">
        <v>0</v>
      </c>
      <c r="Z115" s="7">
        <f t="shared" si="1"/>
        <v>90314.476938438223</v>
      </c>
    </row>
    <row r="116" spans="1:26" customFormat="1" x14ac:dyDescent="0.35">
      <c r="A116" s="3" t="s">
        <v>22</v>
      </c>
      <c r="B116" s="6">
        <v>1.0144930610537113E-3</v>
      </c>
      <c r="C116" s="8" t="s">
        <v>146</v>
      </c>
      <c r="D116" s="33" t="s">
        <v>336</v>
      </c>
      <c r="E116" s="25">
        <v>7542.15</v>
      </c>
      <c r="F116" s="25">
        <v>8222.42</v>
      </c>
      <c r="G116" s="28">
        <v>8222.42</v>
      </c>
      <c r="H116" s="28">
        <v>17038.45</v>
      </c>
      <c r="I116" s="28">
        <v>7499.43</v>
      </c>
      <c r="J116" s="7">
        <f>$B116*'Distributor Payments'!H$21</f>
        <v>17038.449288375112</v>
      </c>
      <c r="K116" s="7">
        <f>$B116*'Distributor Payments'!I$21</f>
        <v>17038.44928821169</v>
      </c>
      <c r="L116" s="7">
        <f>$B116*'Distributor Payments'!J$21</f>
        <v>6491.6491784889013</v>
      </c>
      <c r="M116" s="7">
        <f>$B116*'Distributor Payments'!K$21</f>
        <v>20039.269191063937</v>
      </c>
      <c r="N116" s="7">
        <f>$B116*'Distributor Payments'!L$21</f>
        <v>20039.269191063937</v>
      </c>
      <c r="O116" s="7">
        <f>$B116*'Distributor Payments'!M$21</f>
        <v>20039.269191063937</v>
      </c>
      <c r="P116" s="7">
        <f>$B116*'Distributor Payments'!N$21</f>
        <v>16845.028146038814</v>
      </c>
      <c r="Q116" s="7">
        <f>$B116*'Distributor Payments'!O$21</f>
        <v>16845.028146038814</v>
      </c>
      <c r="R116" s="7">
        <f>$B116*'Distributor Payments'!P$21</f>
        <v>16845.028146038814</v>
      </c>
      <c r="S116" s="7">
        <f>$B116*'Distributor Payments'!Q$21</f>
        <v>16845.028146038814</v>
      </c>
      <c r="T116" s="7">
        <f>$B116*'Distributor Payments'!R$21</f>
        <v>16845.028146038814</v>
      </c>
      <c r="U116" s="7">
        <f>$B116*'Distributor Payments'!S$21</f>
        <v>16845.028146038814</v>
      </c>
      <c r="V116" s="7">
        <f>$B116*'Distributor Payments'!T$21</f>
        <v>16845.028146038814</v>
      </c>
      <c r="W116" s="7">
        <f>$B116*'Distributor Payments'!U$21</f>
        <v>16845.028146038814</v>
      </c>
      <c r="X116" s="7">
        <f>B116*'Distributor Payments'!$V$21</f>
        <v>4123.2427596465031</v>
      </c>
      <c r="Y116" s="7">
        <v>0</v>
      </c>
      <c r="Z116" s="7">
        <f t="shared" si="1"/>
        <v>288094.69325622456</v>
      </c>
    </row>
    <row r="117" spans="1:26" customFormat="1" x14ac:dyDescent="0.35">
      <c r="A117" s="3" t="s">
        <v>22</v>
      </c>
      <c r="B117" s="6">
        <v>2.8316739108428678E-4</v>
      </c>
      <c r="C117" s="8" t="s">
        <v>147</v>
      </c>
      <c r="D117" s="33" t="s">
        <v>336</v>
      </c>
      <c r="E117" s="25">
        <v>2105.1799999999998</v>
      </c>
      <c r="F117" s="25">
        <v>2295.06</v>
      </c>
      <c r="G117" s="28">
        <v>2295.06</v>
      </c>
      <c r="H117" s="28">
        <v>4755.8100000000004</v>
      </c>
      <c r="I117" s="28">
        <v>2093.2600000000002</v>
      </c>
      <c r="J117" s="7">
        <f>$B117*'Distributor Payments'!H$21</f>
        <v>4755.807031444705</v>
      </c>
      <c r="K117" s="7">
        <f>$B117*'Distributor Payments'!I$21</f>
        <v>4755.8070313990911</v>
      </c>
      <c r="L117" s="7">
        <f>$B117*'Distributor Payments'!J$21</f>
        <v>1811.9624788738035</v>
      </c>
      <c r="M117" s="7">
        <f>$B117*'Distributor Payments'!K$21</f>
        <v>5593.402058536969</v>
      </c>
      <c r="N117" s="7">
        <f>$B117*'Distributor Payments'!L$21</f>
        <v>5593.402058536969</v>
      </c>
      <c r="O117" s="7">
        <f>$B117*'Distributor Payments'!M$21</f>
        <v>5593.402058536969</v>
      </c>
      <c r="P117" s="7">
        <f>$B117*'Distributor Payments'!N$21</f>
        <v>4701.8189241243617</v>
      </c>
      <c r="Q117" s="7">
        <f>$B117*'Distributor Payments'!O$21</f>
        <v>4701.8189241243617</v>
      </c>
      <c r="R117" s="7">
        <f>$B117*'Distributor Payments'!P$21</f>
        <v>4701.8189241243617</v>
      </c>
      <c r="S117" s="7">
        <f>$B117*'Distributor Payments'!Q$21</f>
        <v>4701.8189241243617</v>
      </c>
      <c r="T117" s="7">
        <f>$B117*'Distributor Payments'!R$21</f>
        <v>4701.8189241243617</v>
      </c>
      <c r="U117" s="7">
        <f>$B117*'Distributor Payments'!S$21</f>
        <v>4701.8189241243617</v>
      </c>
      <c r="V117" s="7">
        <f>$B117*'Distributor Payments'!T$21</f>
        <v>4701.8189241243617</v>
      </c>
      <c r="W117" s="7">
        <f>$B117*'Distributor Payments'!U$21</f>
        <v>4701.8189241243617</v>
      </c>
      <c r="X117" s="7">
        <f>B117*'Distributor Payments'!$V$21</f>
        <v>1150.8880049347715</v>
      </c>
      <c r="Y117" s="7">
        <v>0</v>
      </c>
      <c r="Z117" s="7">
        <f t="shared" si="1"/>
        <v>80413.592115258172</v>
      </c>
    </row>
    <row r="118" spans="1:26" customFormat="1" x14ac:dyDescent="0.35">
      <c r="A118" s="3" t="s">
        <v>75</v>
      </c>
      <c r="B118" s="6">
        <v>1.19769044904E-3</v>
      </c>
      <c r="C118" s="8" t="s">
        <v>148</v>
      </c>
      <c r="D118" s="33" t="s">
        <v>336</v>
      </c>
      <c r="E118" s="25">
        <v>8638.42</v>
      </c>
      <c r="F118" s="29">
        <v>9417.56</v>
      </c>
      <c r="G118" s="28">
        <v>9417.56</v>
      </c>
      <c r="H118" s="28">
        <v>20115.259999999998</v>
      </c>
      <c r="I118" s="28">
        <v>8853.68</v>
      </c>
      <c r="J118" s="7">
        <f>$B118*'Distributor Payments'!H$21</f>
        <v>20115.256340879831</v>
      </c>
      <c r="K118" s="7">
        <f>$B118*'Distributor Payments'!I$21</f>
        <v>20115.256340686898</v>
      </c>
      <c r="L118" s="7">
        <f>$B118*'Distributor Payments'!J$21</f>
        <v>7663.9126654242145</v>
      </c>
      <c r="M118" s="7">
        <f>$B118*'Distributor Payments'!K$21</f>
        <v>23657.964984945422</v>
      </c>
      <c r="N118" s="7">
        <f>$B118*'Distributor Payments'!L$21</f>
        <v>23657.964984945422</v>
      </c>
      <c r="O118" s="7">
        <f>$B118*'Distributor Payments'!M$21</f>
        <v>23657.964984945422</v>
      </c>
      <c r="P118" s="7">
        <f>$B118*'Distributor Payments'!N$21</f>
        <v>19886.907164614422</v>
      </c>
      <c r="Q118" s="7">
        <f>$B118*'Distributor Payments'!O$21</f>
        <v>19886.907164614422</v>
      </c>
      <c r="R118" s="7">
        <f>$B118*'Distributor Payments'!P$21</f>
        <v>19886.907164614422</v>
      </c>
      <c r="S118" s="7">
        <f>$B118*'Distributor Payments'!Q$21</f>
        <v>19886.907164614422</v>
      </c>
      <c r="T118" s="7">
        <f>$B118*'Distributor Payments'!R$21</f>
        <v>19886.907164614422</v>
      </c>
      <c r="U118" s="7">
        <f>$B118*'Distributor Payments'!S$21</f>
        <v>19886.907164614422</v>
      </c>
      <c r="V118" s="7">
        <f>$B118*'Distributor Payments'!T$21</f>
        <v>19886.907164614422</v>
      </c>
      <c r="W118" s="7">
        <f>$B118*'Distributor Payments'!U$21</f>
        <v>19886.907164614422</v>
      </c>
      <c r="X118" s="7">
        <f>B118*'Distributor Payments'!$V$21</f>
        <v>4867.8188761317624</v>
      </c>
      <c r="Y118" s="7">
        <v>0</v>
      </c>
      <c r="Z118" s="7">
        <f t="shared" si="1"/>
        <v>339273.87649487436</v>
      </c>
    </row>
    <row r="119" spans="1:26" customFormat="1" x14ac:dyDescent="0.35">
      <c r="A119" s="3" t="s">
        <v>60</v>
      </c>
      <c r="B119" s="6">
        <v>2.7338015903711855E-6</v>
      </c>
      <c r="C119" s="8" t="s">
        <v>149</v>
      </c>
      <c r="D119" s="33" t="s">
        <v>338</v>
      </c>
      <c r="E119" s="25">
        <v>732.63</v>
      </c>
      <c r="F119" s="48">
        <v>22.16</v>
      </c>
      <c r="G119" s="49">
        <v>22.16</v>
      </c>
      <c r="H119" s="28">
        <v>0</v>
      </c>
      <c r="I119" s="28">
        <v>0</v>
      </c>
      <c r="J119" s="49">
        <f>$B$119*'Distributor Payments'!H$21</f>
        <v>45.914300994467375</v>
      </c>
      <c r="K119" s="49">
        <f>$B$119*'Distributor Payments'!I$21</f>
        <v>45.914300994027002</v>
      </c>
      <c r="L119" s="49">
        <f>$B$119*'Distributor Payments'!J$21</f>
        <v>17.493348677862635</v>
      </c>
      <c r="M119" s="49">
        <f>$B$119*'Distributor Payments'!K$21</f>
        <v>54.000749820314873</v>
      </c>
      <c r="N119" s="49">
        <f>$B$119*'Distributor Payments'!L$21</f>
        <v>54.000749820314873</v>
      </c>
      <c r="O119" s="49">
        <f>$B$119*'Distributor Payments'!M$21</f>
        <v>54.000749820314873</v>
      </c>
      <c r="P119" s="49">
        <f>$B$119*'Distributor Payments'!N$21</f>
        <v>45.393080054837526</v>
      </c>
      <c r="Q119" s="49">
        <f>$B$119*'Distributor Payments'!O$21</f>
        <v>45.393080054837526</v>
      </c>
      <c r="R119" s="49">
        <f>$B$119*'Distributor Payments'!P$21</f>
        <v>45.393080054837526</v>
      </c>
      <c r="S119" s="49">
        <f>$B$119*'Distributor Payments'!Q$21</f>
        <v>45.393080054837526</v>
      </c>
      <c r="T119" s="49">
        <f>$B$119*'Distributor Payments'!R$21</f>
        <v>45.393080054837526</v>
      </c>
      <c r="U119" s="49">
        <f>$B$119*'Distributor Payments'!S$21</f>
        <v>45.393080054837526</v>
      </c>
      <c r="V119" s="49">
        <f>$B$119*'Distributor Payments'!T$21</f>
        <v>45.393080054837526</v>
      </c>
      <c r="W119" s="49">
        <f>$B$119*'Distributor Payments'!U$21</f>
        <v>45.393080054837526</v>
      </c>
      <c r="X119" s="49">
        <f>$B$119*'Distributor Payments'!V$21</f>
        <v>11.11109385223414</v>
      </c>
      <c r="Y119" s="7">
        <v>0</v>
      </c>
      <c r="Z119" s="7">
        <f>E119</f>
        <v>732.63</v>
      </c>
    </row>
    <row r="120" spans="1:26" customFormat="1" x14ac:dyDescent="0.35">
      <c r="A120" s="3" t="s">
        <v>34</v>
      </c>
      <c r="B120" s="6">
        <v>4.1241238073282355E-4</v>
      </c>
      <c r="C120" s="8" t="s">
        <v>150</v>
      </c>
      <c r="D120" s="33" t="s">
        <v>336</v>
      </c>
      <c r="E120" s="25">
        <v>3066.04</v>
      </c>
      <c r="F120" s="25">
        <v>3342.58</v>
      </c>
      <c r="G120" s="28">
        <v>3342.58</v>
      </c>
      <c r="H120" s="28">
        <v>6926.48</v>
      </c>
      <c r="I120" s="28">
        <v>3048.67</v>
      </c>
      <c r="J120" s="7">
        <f>$B120*'Distributor Payments'!H$21</f>
        <v>6926.4815155223932</v>
      </c>
      <c r="K120" s="7">
        <f>$B120*'Distributor Payments'!I$21</f>
        <v>6926.4815154559601</v>
      </c>
      <c r="L120" s="7">
        <f>$B120*'Distributor Payments'!J$21</f>
        <v>2638.9894572587345</v>
      </c>
      <c r="M120" s="7">
        <f>$B120*'Distributor Payments'!K$21</f>
        <v>8146.3767792050458</v>
      </c>
      <c r="N120" s="7">
        <f>$B120*'Distributor Payments'!L$21</f>
        <v>8146.3767792050458</v>
      </c>
      <c r="O120" s="7">
        <f>$B120*'Distributor Payments'!M$21</f>
        <v>8146.3767792050458</v>
      </c>
      <c r="P120" s="7">
        <f>$B120*'Distributor Payments'!N$21</f>
        <v>6847.8518266094688</v>
      </c>
      <c r="Q120" s="7">
        <f>$B120*'Distributor Payments'!O$21</f>
        <v>6847.8518266094688</v>
      </c>
      <c r="R120" s="7">
        <f>$B120*'Distributor Payments'!P$21</f>
        <v>6847.8518266094688</v>
      </c>
      <c r="S120" s="7">
        <f>$B120*'Distributor Payments'!Q$21</f>
        <v>6847.8518266094688</v>
      </c>
      <c r="T120" s="7">
        <f>$B120*'Distributor Payments'!R$21</f>
        <v>6847.8518266094688</v>
      </c>
      <c r="U120" s="7">
        <f>$B120*'Distributor Payments'!S$21</f>
        <v>6847.8518266094688</v>
      </c>
      <c r="V120" s="7">
        <f>$B120*'Distributor Payments'!T$21</f>
        <v>6847.8518266094688</v>
      </c>
      <c r="W120" s="7">
        <f>$B120*'Distributor Payments'!U$21</f>
        <v>6847.8518266094688</v>
      </c>
      <c r="X120" s="7">
        <f>B120*'Distributor Payments'!$V$21</f>
        <v>1676.1833354276255</v>
      </c>
      <c r="Y120" s="7">
        <v>0</v>
      </c>
      <c r="Z120" s="7">
        <f t="shared" si="1"/>
        <v>117116.43077415557</v>
      </c>
    </row>
    <row r="121" spans="1:26" customFormat="1" x14ac:dyDescent="0.35">
      <c r="A121" s="3" t="s">
        <v>34</v>
      </c>
      <c r="B121" s="6">
        <v>1.648818359426535E-4</v>
      </c>
      <c r="C121" s="8" t="s">
        <v>151</v>
      </c>
      <c r="D121" s="33" t="s">
        <v>336</v>
      </c>
      <c r="E121" s="25">
        <v>1225.8</v>
      </c>
      <c r="F121" s="25">
        <v>1777.23</v>
      </c>
      <c r="G121" s="28">
        <v>1336.36</v>
      </c>
      <c r="H121" s="28">
        <v>2769.2</v>
      </c>
      <c r="I121" s="28">
        <v>1218.8599999999999</v>
      </c>
      <c r="J121" s="7">
        <f>$B121*'Distributor Payments'!H$21</f>
        <v>2769.1966639625434</v>
      </c>
      <c r="K121" s="7">
        <f>$B121*'Distributor Payments'!I$21</f>
        <v>2769.1966639359835</v>
      </c>
      <c r="L121" s="7">
        <f>$B121*'Distributor Payments'!J$21</f>
        <v>1055.0639289076414</v>
      </c>
      <c r="M121" s="7">
        <f>$B121*'Distributor Payments'!K$21</f>
        <v>3256.9089154141998</v>
      </c>
      <c r="N121" s="7">
        <f>$B121*'Distributor Payments'!L$21</f>
        <v>3256.9089154141998</v>
      </c>
      <c r="O121" s="7">
        <f>$B121*'Distributor Payments'!M$21</f>
        <v>3256.9089154141998</v>
      </c>
      <c r="P121" s="7">
        <f>$B121*'Distributor Payments'!N$21</f>
        <v>2737.7606351883205</v>
      </c>
      <c r="Q121" s="7">
        <f>$B121*'Distributor Payments'!O$21</f>
        <v>2737.7606351883205</v>
      </c>
      <c r="R121" s="7">
        <f>$B121*'Distributor Payments'!P$21</f>
        <v>2737.7606351883205</v>
      </c>
      <c r="S121" s="7">
        <f>$B121*'Distributor Payments'!Q$21</f>
        <v>2737.7606351883205</v>
      </c>
      <c r="T121" s="7">
        <f>$B121*'Distributor Payments'!R$21</f>
        <v>2737.7606351883205</v>
      </c>
      <c r="U121" s="7">
        <f>$B121*'Distributor Payments'!S$21</f>
        <v>2737.7606351883205</v>
      </c>
      <c r="V121" s="7">
        <f>$B121*'Distributor Payments'!T$21</f>
        <v>2737.7606351883205</v>
      </c>
      <c r="W121" s="7">
        <f>$B121*'Distributor Payments'!U$21</f>
        <v>2737.7606351883205</v>
      </c>
      <c r="X121" s="7">
        <f>B121*'Distributor Payments'!$V$21</f>
        <v>670.13552122440262</v>
      </c>
      <c r="Y121" s="7">
        <v>0</v>
      </c>
      <c r="Z121" s="7">
        <f t="shared" si="1"/>
        <v>47263.854605779743</v>
      </c>
    </row>
    <row r="122" spans="1:26" customFormat="1" x14ac:dyDescent="0.35">
      <c r="A122" s="3" t="s">
        <v>22</v>
      </c>
      <c r="B122" s="6">
        <v>2.1927641004900787E-4</v>
      </c>
      <c r="C122" s="8" t="s">
        <v>152</v>
      </c>
      <c r="D122" s="33" t="s">
        <v>336</v>
      </c>
      <c r="E122" s="25">
        <v>1630.19</v>
      </c>
      <c r="F122" s="29">
        <v>1336.36</v>
      </c>
      <c r="G122" s="28">
        <v>1777.23</v>
      </c>
      <c r="H122" s="28">
        <v>3682.76</v>
      </c>
      <c r="I122" s="28">
        <v>1620.96</v>
      </c>
      <c r="J122" s="7">
        <f>$B122*'Distributor Payments'!H$21</f>
        <v>3682.75559112884</v>
      </c>
      <c r="K122" s="7">
        <f>$B122*'Distributor Payments'!I$21</f>
        <v>3682.7555910935175</v>
      </c>
      <c r="L122" s="7">
        <f>$B122*'Distributor Payments'!J$21</f>
        <v>1403.1298801375176</v>
      </c>
      <c r="M122" s="7">
        <f>$B122*'Distributor Payments'!K$21</f>
        <v>4331.3642812481912</v>
      </c>
      <c r="N122" s="7">
        <f>$B122*'Distributor Payments'!L$21</f>
        <v>4331.3642812481912</v>
      </c>
      <c r="O122" s="7">
        <f>$B122*'Distributor Payments'!M$21</f>
        <v>4331.3642812481912</v>
      </c>
      <c r="P122" s="7">
        <f>$B122*'Distributor Payments'!N$21</f>
        <v>3640.9488057033896</v>
      </c>
      <c r="Q122" s="7">
        <f>$B122*'Distributor Payments'!O$21</f>
        <v>3640.9488057033896</v>
      </c>
      <c r="R122" s="7">
        <f>$B122*'Distributor Payments'!P$21</f>
        <v>3640.9488057033896</v>
      </c>
      <c r="S122" s="7">
        <f>$B122*'Distributor Payments'!Q$21</f>
        <v>3640.9488057033896</v>
      </c>
      <c r="T122" s="7">
        <f>$B122*'Distributor Payments'!R$21</f>
        <v>3640.9488057033896</v>
      </c>
      <c r="U122" s="7">
        <f>$B122*'Distributor Payments'!S$21</f>
        <v>3640.9488057033896</v>
      </c>
      <c r="V122" s="7">
        <f>$B122*'Distributor Payments'!T$21</f>
        <v>3640.9488057033896</v>
      </c>
      <c r="W122" s="7">
        <f>$B122*'Distributor Payments'!U$21</f>
        <v>3640.9488057033896</v>
      </c>
      <c r="X122" s="7">
        <f>B122*'Distributor Payments'!$V$21</f>
        <v>891.21345902234918</v>
      </c>
      <c r="Y122" s="7">
        <v>0</v>
      </c>
      <c r="Z122" s="7">
        <f t="shared" si="1"/>
        <v>61829.037810753915</v>
      </c>
    </row>
    <row r="123" spans="1:26" customFormat="1" x14ac:dyDescent="0.35">
      <c r="A123" s="3" t="s">
        <v>153</v>
      </c>
      <c r="B123" s="6">
        <v>4.1796783504000007E-3</v>
      </c>
      <c r="C123" s="8" t="s">
        <v>153</v>
      </c>
      <c r="D123" s="33" t="s">
        <v>336</v>
      </c>
      <c r="E123" s="25">
        <v>30146.19</v>
      </c>
      <c r="F123" s="25">
        <v>32865.230000000003</v>
      </c>
      <c r="G123" s="28">
        <v>32865.230000000003</v>
      </c>
      <c r="H123" s="28">
        <v>70197.86</v>
      </c>
      <c r="I123" s="28">
        <v>30897.42</v>
      </c>
      <c r="J123" s="7">
        <f>$B123*'Distributor Payments'!H$21</f>
        <v>70197.85580498843</v>
      </c>
      <c r="K123" s="7">
        <f>$B123*'Distributor Payments'!I$21</f>
        <v>70197.855804315142</v>
      </c>
      <c r="L123" s="7">
        <f>$B123*'Distributor Payments'!J$21</f>
        <v>26745.383060126696</v>
      </c>
      <c r="M123" s="7">
        <f>$B123*'Distributor Payments'!K$21</f>
        <v>82561.136010858521</v>
      </c>
      <c r="N123" s="7">
        <f>$B123*'Distributor Payments'!L$21</f>
        <v>82561.136010858521</v>
      </c>
      <c r="O123" s="7">
        <f>$B123*'Distributor Payments'!M$21</f>
        <v>82561.136010858521</v>
      </c>
      <c r="P123" s="7">
        <f>$B123*'Distributor Payments'!N$21</f>
        <v>69400.967001931494</v>
      </c>
      <c r="Q123" s="7">
        <f>$B123*'Distributor Payments'!O$21</f>
        <v>69400.967001931494</v>
      </c>
      <c r="R123" s="7">
        <f>$B123*'Distributor Payments'!P$21</f>
        <v>69400.967001931494</v>
      </c>
      <c r="S123" s="7">
        <f>$B123*'Distributor Payments'!Q$21</f>
        <v>69400.967001931494</v>
      </c>
      <c r="T123" s="7">
        <f>$B123*'Distributor Payments'!R$21</f>
        <v>69400.967001931494</v>
      </c>
      <c r="U123" s="7">
        <f>$B123*'Distributor Payments'!S$21</f>
        <v>69400.967001931494</v>
      </c>
      <c r="V123" s="7">
        <f>$B123*'Distributor Payments'!T$21</f>
        <v>69400.967001931494</v>
      </c>
      <c r="W123" s="7">
        <f>$B123*'Distributor Payments'!U$21</f>
        <v>69400.967001931494</v>
      </c>
      <c r="X123" s="7">
        <f>B123*'Distributor Payments'!$V$21</f>
        <v>16987.625798088739</v>
      </c>
      <c r="Y123" s="7">
        <v>0</v>
      </c>
      <c r="Z123" s="7">
        <f t="shared" si="1"/>
        <v>1183991.7945155466</v>
      </c>
    </row>
    <row r="124" spans="1:26" customFormat="1" x14ac:dyDescent="0.35">
      <c r="A124" s="3" t="s">
        <v>24</v>
      </c>
      <c r="B124" s="6">
        <v>1.6339863075205124E-4</v>
      </c>
      <c r="C124" s="8" t="s">
        <v>154</v>
      </c>
      <c r="D124" s="33" t="s">
        <v>336</v>
      </c>
      <c r="E124" s="25">
        <v>1214.77</v>
      </c>
      <c r="F124" s="29">
        <v>1324.34</v>
      </c>
      <c r="G124" s="28">
        <v>1324.34</v>
      </c>
      <c r="H124" s="28">
        <v>2744.29</v>
      </c>
      <c r="I124" s="28">
        <v>1207.8900000000001</v>
      </c>
      <c r="J124" s="7">
        <f>$B124*'Distributor Payments'!H$21</f>
        <v>2744.2861767502573</v>
      </c>
      <c r="K124" s="7">
        <f>$B124*'Distributor Payments'!I$21</f>
        <v>2744.286176723936</v>
      </c>
      <c r="L124" s="7">
        <f>$B124*'Distributor Payments'!J$21</f>
        <v>1045.5730332803189</v>
      </c>
      <c r="M124" s="7">
        <f>$B124*'Distributor Payments'!K$21</f>
        <v>3227.611181185056</v>
      </c>
      <c r="N124" s="7">
        <f>$B124*'Distributor Payments'!L$21</f>
        <v>3227.611181185056</v>
      </c>
      <c r="O124" s="7">
        <f>$B124*'Distributor Payments'!M$21</f>
        <v>3227.611181185056</v>
      </c>
      <c r="P124" s="7">
        <f>$B124*'Distributor Payments'!N$21</f>
        <v>2713.1329328005927</v>
      </c>
      <c r="Q124" s="7">
        <f>$B124*'Distributor Payments'!O$21</f>
        <v>2713.1329328005927</v>
      </c>
      <c r="R124" s="7">
        <f>$B124*'Distributor Payments'!P$21</f>
        <v>2713.1329328005927</v>
      </c>
      <c r="S124" s="7">
        <f>$B124*'Distributor Payments'!Q$21</f>
        <v>2713.1329328005927</v>
      </c>
      <c r="T124" s="7">
        <f>$B124*'Distributor Payments'!R$21</f>
        <v>2713.1329328005927</v>
      </c>
      <c r="U124" s="7">
        <f>$B124*'Distributor Payments'!S$21</f>
        <v>2713.1329328005927</v>
      </c>
      <c r="V124" s="7">
        <f>$B124*'Distributor Payments'!T$21</f>
        <v>2713.1329328005927</v>
      </c>
      <c r="W124" s="7">
        <f>$B124*'Distributor Payments'!U$21</f>
        <v>2713.1329328005927</v>
      </c>
      <c r="X124" s="7">
        <f>B124*'Distributor Payments'!$V$21</f>
        <v>664.10727391744831</v>
      </c>
      <c r="Y124" s="7">
        <v>0</v>
      </c>
      <c r="Z124" s="7">
        <f t="shared" si="1"/>
        <v>46401.779666631883</v>
      </c>
    </row>
    <row r="125" spans="1:26" customFormat="1" x14ac:dyDescent="0.35">
      <c r="A125" s="3" t="s">
        <v>155</v>
      </c>
      <c r="B125" s="6">
        <v>9.2743876713565832E-4</v>
      </c>
      <c r="C125" s="8" t="s">
        <v>156</v>
      </c>
      <c r="D125" s="33" t="s">
        <v>336</v>
      </c>
      <c r="E125" s="25">
        <v>6894.96</v>
      </c>
      <c r="F125" s="25">
        <v>7516.85</v>
      </c>
      <c r="G125" s="28">
        <v>7516.85</v>
      </c>
      <c r="H125" s="28">
        <v>15576.37</v>
      </c>
      <c r="I125" s="28">
        <v>6855.9</v>
      </c>
      <c r="J125" s="7">
        <f>$B125*'Distributor Payments'!H$21</f>
        <v>15576.369133073271</v>
      </c>
      <c r="K125" s="7">
        <f>$B125*'Distributor Payments'!I$21</f>
        <v>15576.369132923875</v>
      </c>
      <c r="L125" s="7">
        <f>$B125*'Distributor Payments'!J$21</f>
        <v>5934.5966393516819</v>
      </c>
      <c r="M125" s="7">
        <f>$B125*'Distributor Payments'!K$21</f>
        <v>18319.686773960046</v>
      </c>
      <c r="N125" s="7">
        <f>$B125*'Distributor Payments'!L$21</f>
        <v>18319.686773960046</v>
      </c>
      <c r="O125" s="7">
        <f>$B125*'Distributor Payments'!M$21</f>
        <v>18319.686773960046</v>
      </c>
      <c r="P125" s="7">
        <f>$B125*'Distributor Payments'!N$21</f>
        <v>15399.545581811104</v>
      </c>
      <c r="Q125" s="7">
        <f>$B125*'Distributor Payments'!O$21</f>
        <v>15399.545581811104</v>
      </c>
      <c r="R125" s="7">
        <f>$B125*'Distributor Payments'!P$21</f>
        <v>15399.545581811104</v>
      </c>
      <c r="S125" s="7">
        <f>$B125*'Distributor Payments'!Q$21</f>
        <v>15399.545581811104</v>
      </c>
      <c r="T125" s="7">
        <f>$B125*'Distributor Payments'!R$21</f>
        <v>15399.545581811104</v>
      </c>
      <c r="U125" s="7">
        <f>$B125*'Distributor Payments'!S$21</f>
        <v>15399.545581811104</v>
      </c>
      <c r="V125" s="7">
        <f>$B125*'Distributor Payments'!T$21</f>
        <v>15399.545581811104</v>
      </c>
      <c r="W125" s="7">
        <f>$B125*'Distributor Payments'!U$21</f>
        <v>15399.545581811104</v>
      </c>
      <c r="X125" s="7">
        <f>B125*'Distributor Payments'!$V$21</f>
        <v>3769.4246795889335</v>
      </c>
      <c r="Y125" s="7">
        <v>0</v>
      </c>
      <c r="Z125" s="7">
        <f t="shared" si="1"/>
        <v>263373.11456130678</v>
      </c>
    </row>
    <row r="126" spans="1:26" customFormat="1" x14ac:dyDescent="0.35">
      <c r="A126" s="3" t="s">
        <v>34</v>
      </c>
      <c r="B126" s="6">
        <v>2.2960860734267823E-5</v>
      </c>
      <c r="C126" s="8" t="s">
        <v>157</v>
      </c>
      <c r="D126" s="33" t="s">
        <v>336</v>
      </c>
      <c r="E126" s="25">
        <v>170.7</v>
      </c>
      <c r="F126" s="25">
        <v>186.1</v>
      </c>
      <c r="G126" s="28">
        <v>186.1</v>
      </c>
      <c r="H126" s="28">
        <v>0</v>
      </c>
      <c r="I126" s="28">
        <v>0</v>
      </c>
      <c r="J126" s="7">
        <f>$B126*'Distributor Payments'!H$21</f>
        <v>385.62852350308287</v>
      </c>
      <c r="K126" s="7">
        <f>$B126*'Distributor Payments'!I$21</f>
        <v>385.62852349938419</v>
      </c>
      <c r="L126" s="7">
        <f>$B126*'Distributor Payments'!J$21</f>
        <v>146.92446744602847</v>
      </c>
      <c r="M126" s="7">
        <f>$B126*'Distributor Payments'!K$21</f>
        <v>453.54560496906373</v>
      </c>
      <c r="N126" s="7">
        <f>$B126*'Distributor Payments'!L$21</f>
        <v>453.54560496906373</v>
      </c>
      <c r="O126" s="7">
        <f>$B126*'Distributor Payments'!M$21</f>
        <v>453.54560496906373</v>
      </c>
      <c r="P126" s="7">
        <f>$B126*'Distributor Payments'!N$21</f>
        <v>381.25085343047158</v>
      </c>
      <c r="Q126" s="7">
        <f>$B126*'Distributor Payments'!O$21</f>
        <v>381.25085343047158</v>
      </c>
      <c r="R126" s="7">
        <f>$B126*'Distributor Payments'!P$21</f>
        <v>381.25085343047158</v>
      </c>
      <c r="S126" s="7">
        <f>$B126*'Distributor Payments'!Q$21</f>
        <v>381.25085343047158</v>
      </c>
      <c r="T126" s="7">
        <f>$B126*'Distributor Payments'!R$21</f>
        <v>381.25085343047158</v>
      </c>
      <c r="U126" s="7">
        <f>$B126*'Distributor Payments'!S$21</f>
        <v>381.25085343047158</v>
      </c>
      <c r="V126" s="7">
        <f>$B126*'Distributor Payments'!T$21</f>
        <v>381.25085343047158</v>
      </c>
      <c r="W126" s="7">
        <f>$B126*'Distributor Payments'!U$21</f>
        <v>381.25085343047158</v>
      </c>
      <c r="X126" s="7">
        <f>B126*'Distributor Payments'!$V$21</f>
        <v>93.320700172644266</v>
      </c>
      <c r="Y126" s="7">
        <v>0</v>
      </c>
      <c r="Z126" s="7">
        <f t="shared" si="1"/>
        <v>5965.0458569721031</v>
      </c>
    </row>
    <row r="127" spans="1:26" customFormat="1" x14ac:dyDescent="0.35">
      <c r="A127" s="3" t="s">
        <v>158</v>
      </c>
      <c r="B127" s="6">
        <v>2.4927201566399999E-3</v>
      </c>
      <c r="C127" s="8" t="s">
        <v>158</v>
      </c>
      <c r="D127" s="33" t="s">
        <v>336</v>
      </c>
      <c r="E127" s="25">
        <v>17978.900000000001</v>
      </c>
      <c r="F127" s="25">
        <v>19600.509999999998</v>
      </c>
      <c r="G127" s="28">
        <v>19600.509999999998</v>
      </c>
      <c r="H127" s="28">
        <v>41865.33</v>
      </c>
      <c r="I127" s="28">
        <v>18426.919999999998</v>
      </c>
      <c r="J127" s="7">
        <f>$B127*'Distributor Payments'!H$21</f>
        <v>41865.329206793322</v>
      </c>
      <c r="K127" s="7">
        <f>$B127*'Distributor Payments'!I$21</f>
        <v>41865.329206391776</v>
      </c>
      <c r="L127" s="7">
        <f>$B127*'Distributor Payments'!J$21</f>
        <v>15950.6904268496</v>
      </c>
      <c r="M127" s="7">
        <f>$B127*'Distributor Payments'!K$21</f>
        <v>49238.671169437737</v>
      </c>
      <c r="N127" s="7">
        <f>$B127*'Distributor Payments'!L$21</f>
        <v>49238.671169437737</v>
      </c>
      <c r="O127" s="7">
        <f>$B127*'Distributor Payments'!M$21</f>
        <v>49238.671169437737</v>
      </c>
      <c r="P127" s="7">
        <f>$B127*'Distributor Payments'!N$21</f>
        <v>41390.072353167103</v>
      </c>
      <c r="Q127" s="7">
        <f>$B127*'Distributor Payments'!O$21</f>
        <v>41390.072353167103</v>
      </c>
      <c r="R127" s="7">
        <f>$B127*'Distributor Payments'!P$21</f>
        <v>41390.072353167103</v>
      </c>
      <c r="S127" s="7">
        <f>$B127*'Distributor Payments'!Q$21</f>
        <v>41390.072353167103</v>
      </c>
      <c r="T127" s="7">
        <f>$B127*'Distributor Payments'!R$21</f>
        <v>41390.072353167103</v>
      </c>
      <c r="U127" s="7">
        <f>$B127*'Distributor Payments'!S$21</f>
        <v>41390.072353167103</v>
      </c>
      <c r="V127" s="7">
        <f>$B127*'Distributor Payments'!T$21</f>
        <v>41390.072353167103</v>
      </c>
      <c r="W127" s="7">
        <f>$B127*'Distributor Payments'!U$21</f>
        <v>41390.072353167103</v>
      </c>
      <c r="X127" s="7">
        <f>B127*'Distributor Payments'!$V$21</f>
        <v>10131.257405561113</v>
      </c>
      <c r="Y127" s="7">
        <v>0</v>
      </c>
      <c r="Z127" s="7">
        <f t="shared" si="1"/>
        <v>706121.36857924599</v>
      </c>
    </row>
    <row r="128" spans="1:26" customFormat="1" x14ac:dyDescent="0.35">
      <c r="A128" s="3" t="s">
        <v>22</v>
      </c>
      <c r="B128" s="6">
        <v>4.0472692288000007E-4</v>
      </c>
      <c r="C128" s="8" t="s">
        <v>159</v>
      </c>
      <c r="D128" s="33" t="s">
        <v>336</v>
      </c>
      <c r="E128" s="25">
        <v>2919.12</v>
      </c>
      <c r="F128" s="25">
        <v>13299.52</v>
      </c>
      <c r="G128" s="28">
        <v>3182.41</v>
      </c>
      <c r="H128" s="28">
        <v>6797.4</v>
      </c>
      <c r="I128" s="28">
        <v>2991.86</v>
      </c>
      <c r="J128" s="7">
        <f>$B128*'Distributor Payments'!H$21</f>
        <v>6797.4039605243661</v>
      </c>
      <c r="K128" s="7">
        <f>$B128*'Distributor Payments'!I$21</f>
        <v>6797.4039604591708</v>
      </c>
      <c r="L128" s="7">
        <f>$B128*'Distributor Payments'!J$21</f>
        <v>2589.8109088073802</v>
      </c>
      <c r="M128" s="7">
        <f>$B128*'Distributor Payments'!K$21</f>
        <v>7994.566022994115</v>
      </c>
      <c r="N128" s="7">
        <f>$B128*'Distributor Payments'!L$21</f>
        <v>7994.566022994115</v>
      </c>
      <c r="O128" s="7">
        <f>$B128*'Distributor Payments'!M$21</f>
        <v>7994.566022994115</v>
      </c>
      <c r="P128" s="7">
        <f>$B128*'Distributor Payments'!N$21</f>
        <v>6720.2395650612825</v>
      </c>
      <c r="Q128" s="7">
        <f>$B128*'Distributor Payments'!O$21</f>
        <v>6720.2395650612825</v>
      </c>
      <c r="R128" s="7">
        <f>$B128*'Distributor Payments'!P$21</f>
        <v>6720.2395650612825</v>
      </c>
      <c r="S128" s="7">
        <f>$B128*'Distributor Payments'!Q$21</f>
        <v>6720.2395650612825</v>
      </c>
      <c r="T128" s="7">
        <f>$B128*'Distributor Payments'!R$21</f>
        <v>6720.2395650612825</v>
      </c>
      <c r="U128" s="7">
        <f>$B128*'Distributor Payments'!S$21</f>
        <v>6720.2395650612825</v>
      </c>
      <c r="V128" s="7">
        <f>$B128*'Distributor Payments'!T$21</f>
        <v>6720.2395650612825</v>
      </c>
      <c r="W128" s="7">
        <f>$B128*'Distributor Payments'!U$21</f>
        <v>6720.2395650612825</v>
      </c>
      <c r="X128" s="7">
        <f>B128*'Distributor Payments'!$V$21</f>
        <v>1644.9470365678692</v>
      </c>
      <c r="Y128" s="7">
        <v>0</v>
      </c>
      <c r="Z128" s="7">
        <f t="shared" si="1"/>
        <v>124765.49045583144</v>
      </c>
    </row>
    <row r="129" spans="1:26" customFormat="1" x14ac:dyDescent="0.35">
      <c r="A129" s="3" t="s">
        <v>160</v>
      </c>
      <c r="B129" s="6">
        <v>1.6409123780693306E-3</v>
      </c>
      <c r="C129" s="8" t="s">
        <v>160</v>
      </c>
      <c r="D129" s="33" t="s">
        <v>336</v>
      </c>
      <c r="E129" s="25">
        <v>12199.21</v>
      </c>
      <c r="F129" s="29">
        <v>3182.41</v>
      </c>
      <c r="G129" s="28">
        <v>13299.52</v>
      </c>
      <c r="H129" s="28">
        <v>27559.19</v>
      </c>
      <c r="I129" s="28">
        <v>12130.11</v>
      </c>
      <c r="J129" s="7">
        <f>$B129*'Distributor Payments'!H$21</f>
        <v>27559.185384039858</v>
      </c>
      <c r="K129" s="7">
        <f>$B129*'Distributor Payments'!I$21</f>
        <v>27559.18538377553</v>
      </c>
      <c r="L129" s="7">
        <f>$B129*'Distributor Payments'!J$21</f>
        <v>10500.049630701287</v>
      </c>
      <c r="M129" s="7">
        <f>$B129*'Distributor Payments'!K$21</f>
        <v>32412.92239981053</v>
      </c>
      <c r="N129" s="7">
        <f>$B129*'Distributor Payments'!L$21</f>
        <v>32412.92239981053</v>
      </c>
      <c r="O129" s="7">
        <f>$B129*'Distributor Payments'!M$21</f>
        <v>32412.92239981053</v>
      </c>
      <c r="P129" s="7">
        <f>$B129*'Distributor Payments'!N$21</f>
        <v>27246.332434301316</v>
      </c>
      <c r="Q129" s="7">
        <f>$B129*'Distributor Payments'!O$21</f>
        <v>27246.332434301316</v>
      </c>
      <c r="R129" s="7">
        <f>$B129*'Distributor Payments'!P$21</f>
        <v>27246.332434301316</v>
      </c>
      <c r="S129" s="7">
        <f>$B129*'Distributor Payments'!Q$21</f>
        <v>27246.332434301316</v>
      </c>
      <c r="T129" s="7">
        <f>$B129*'Distributor Payments'!R$21</f>
        <v>27246.332434301316</v>
      </c>
      <c r="U129" s="7">
        <f>$B129*'Distributor Payments'!S$21</f>
        <v>27246.332434301316</v>
      </c>
      <c r="V129" s="7">
        <f>$B129*'Distributor Payments'!T$21</f>
        <v>27246.332434301316</v>
      </c>
      <c r="W129" s="7">
        <f>$B129*'Distributor Payments'!U$21</f>
        <v>27246.332434301316</v>
      </c>
      <c r="X129" s="7">
        <f>B129*'Distributor Payments'!$V$21</f>
        <v>6669.2226313122901</v>
      </c>
      <c r="Y129" s="7">
        <v>0</v>
      </c>
      <c r="Z129" s="7">
        <f t="shared" si="1"/>
        <v>455867.50970367109</v>
      </c>
    </row>
    <row r="130" spans="1:26" customFormat="1" x14ac:dyDescent="0.35">
      <c r="A130" s="3" t="s">
        <v>34</v>
      </c>
      <c r="B130" s="6">
        <v>4.6228212324811761E-4</v>
      </c>
      <c r="C130" s="8" t="s">
        <v>161</v>
      </c>
      <c r="D130" s="33" t="s">
        <v>336</v>
      </c>
      <c r="E130" s="25">
        <v>3436.79</v>
      </c>
      <c r="F130" s="29">
        <v>3746.78</v>
      </c>
      <c r="G130" s="28">
        <v>3746.78</v>
      </c>
      <c r="H130" s="28">
        <v>7764.05</v>
      </c>
      <c r="I130" s="28">
        <v>3417.33</v>
      </c>
      <c r="J130" s="7">
        <f>$B130*'Distributor Payments'!H$21</f>
        <v>7764.0457251667758</v>
      </c>
      <c r="K130" s="7">
        <f>$B130*'Distributor Payments'!I$21</f>
        <v>7764.0457250923091</v>
      </c>
      <c r="L130" s="7">
        <f>$B130*'Distributor Payments'!J$21</f>
        <v>2958.1014211144652</v>
      </c>
      <c r="M130" s="7">
        <f>$B130*'Distributor Payments'!K$21</f>
        <v>9131.4532012310738</v>
      </c>
      <c r="N130" s="7">
        <f>$B130*'Distributor Payments'!L$21</f>
        <v>9131.4532012310738</v>
      </c>
      <c r="O130" s="7">
        <f>$B130*'Distributor Payments'!M$21</f>
        <v>9131.4532012310738</v>
      </c>
      <c r="P130" s="7">
        <f>$B130*'Distributor Payments'!N$21</f>
        <v>7675.9079746064835</v>
      </c>
      <c r="Q130" s="7">
        <f>$B130*'Distributor Payments'!O$21</f>
        <v>7675.9079746064835</v>
      </c>
      <c r="R130" s="7">
        <f>$B130*'Distributor Payments'!P$21</f>
        <v>7675.9079746064835</v>
      </c>
      <c r="S130" s="7">
        <f>$B130*'Distributor Payments'!Q$21</f>
        <v>7675.9079746064835</v>
      </c>
      <c r="T130" s="7">
        <f>$B130*'Distributor Payments'!R$21</f>
        <v>7675.9079746064835</v>
      </c>
      <c r="U130" s="7">
        <f>$B130*'Distributor Payments'!S$21</f>
        <v>7675.9079746064835</v>
      </c>
      <c r="V130" s="7">
        <f>$B130*'Distributor Payments'!T$21</f>
        <v>7675.9079746064835</v>
      </c>
      <c r="W130" s="7">
        <f>$B130*'Distributor Payments'!U$21</f>
        <v>7675.9079746064835</v>
      </c>
      <c r="X130" s="7">
        <f>B130*'Distributor Payments'!$V$21</f>
        <v>1878.8708279749353</v>
      </c>
      <c r="Y130" s="7">
        <v>0</v>
      </c>
      <c r="Z130" s="7">
        <f t="shared" si="1"/>
        <v>131278.41709989356</v>
      </c>
    </row>
    <row r="131" spans="1:26" customFormat="1" x14ac:dyDescent="0.35">
      <c r="A131" s="3" t="s">
        <v>90</v>
      </c>
      <c r="B131" s="6">
        <v>2.3910807429600001E-2</v>
      </c>
      <c r="C131" s="8" t="s">
        <v>90</v>
      </c>
      <c r="D131" s="33" t="s">
        <v>336</v>
      </c>
      <c r="E131" s="25">
        <v>172458.16</v>
      </c>
      <c r="F131" s="25">
        <v>188013.06</v>
      </c>
      <c r="G131" s="28">
        <v>188013.06</v>
      </c>
      <c r="H131" s="28">
        <v>401582.91</v>
      </c>
      <c r="I131" s="28">
        <v>176755.74</v>
      </c>
      <c r="J131" s="7">
        <f>$B131*'Distributor Payments'!H$21</f>
        <v>401582.91414057574</v>
      </c>
      <c r="K131" s="7">
        <f>$B131*'Distributor Payments'!I$21</f>
        <v>401582.91413672408</v>
      </c>
      <c r="L131" s="7">
        <f>$B131*'Distributor Payments'!J$21</f>
        <v>153003.09027855555</v>
      </c>
      <c r="M131" s="7">
        <f>$B131*'Distributor Payments'!K$21</f>
        <v>472309.89057704114</v>
      </c>
      <c r="N131" s="7">
        <f>$B131*'Distributor Payments'!L$21</f>
        <v>472309.89057704114</v>
      </c>
      <c r="O131" s="7">
        <f>$B131*'Distributor Payments'!M$21</f>
        <v>472309.89057704114</v>
      </c>
      <c r="P131" s="7">
        <f>$B131*'Distributor Payments'!N$21</f>
        <v>397024.12920180766</v>
      </c>
      <c r="Q131" s="7">
        <f>$B131*'Distributor Payments'!O$21</f>
        <v>397024.12920180766</v>
      </c>
      <c r="R131" s="7">
        <f>$B131*'Distributor Payments'!P$21</f>
        <v>397024.12920180766</v>
      </c>
      <c r="S131" s="7">
        <f>$B131*'Distributor Payments'!Q$21</f>
        <v>397024.12920180766</v>
      </c>
      <c r="T131" s="7">
        <f>$B131*'Distributor Payments'!R$21</f>
        <v>397024.12920180766</v>
      </c>
      <c r="U131" s="7">
        <f>$B131*'Distributor Payments'!S$21</f>
        <v>397024.12920180766</v>
      </c>
      <c r="V131" s="7">
        <f>$B131*'Distributor Payments'!T$21</f>
        <v>397024.12920180766</v>
      </c>
      <c r="W131" s="7">
        <f>$B131*'Distributor Payments'!U$21</f>
        <v>397024.12920180766</v>
      </c>
      <c r="X131" s="7">
        <f>B131*'Distributor Payments'!$V$21</f>
        <v>97181.60468145406</v>
      </c>
      <c r="Y131" s="7">
        <v>0</v>
      </c>
      <c r="Z131" s="7">
        <f t="shared" si="1"/>
        <v>6773296.158582896</v>
      </c>
    </row>
    <row r="132" spans="1:26" customFormat="1" x14ac:dyDescent="0.35">
      <c r="A132" s="3" t="s">
        <v>22</v>
      </c>
      <c r="B132" s="6">
        <v>9.3502969578928511E-4</v>
      </c>
      <c r="C132" s="8" t="s">
        <v>162</v>
      </c>
      <c r="D132" s="33" t="s">
        <v>336</v>
      </c>
      <c r="E132" s="25">
        <v>6951.39</v>
      </c>
      <c r="F132" s="25">
        <v>7578.37</v>
      </c>
      <c r="G132" s="28">
        <v>7578.37</v>
      </c>
      <c r="H132" s="28">
        <v>15703.86</v>
      </c>
      <c r="I132" s="28">
        <v>6912.02</v>
      </c>
      <c r="J132" s="7">
        <f>$B132*'Distributor Payments'!H$21</f>
        <v>15703.859066599436</v>
      </c>
      <c r="K132" s="7">
        <f>$B132*'Distributor Payments'!I$21</f>
        <v>15703.859066448817</v>
      </c>
      <c r="L132" s="7">
        <f>$B132*'Distributor Payments'!J$21</f>
        <v>5983.1703040222919</v>
      </c>
      <c r="M132" s="7">
        <f>$B132*'Distributor Payments'!K$21</f>
        <v>18469.630296040119</v>
      </c>
      <c r="N132" s="7">
        <f>$B132*'Distributor Payments'!L$21</f>
        <v>18469.630296040119</v>
      </c>
      <c r="O132" s="7">
        <f>$B132*'Distributor Payments'!M$21</f>
        <v>18469.630296040119</v>
      </c>
      <c r="P132" s="7">
        <f>$B132*'Distributor Payments'!N$21</f>
        <v>15525.588244628436</v>
      </c>
      <c r="Q132" s="7">
        <f>$B132*'Distributor Payments'!O$21</f>
        <v>15525.588244628436</v>
      </c>
      <c r="R132" s="7">
        <f>$B132*'Distributor Payments'!P$21</f>
        <v>15525.588244628436</v>
      </c>
      <c r="S132" s="7">
        <f>$B132*'Distributor Payments'!Q$21</f>
        <v>15525.588244628436</v>
      </c>
      <c r="T132" s="7">
        <f>$B132*'Distributor Payments'!R$21</f>
        <v>15525.588244628436</v>
      </c>
      <c r="U132" s="7">
        <f>$B132*'Distributor Payments'!S$21</f>
        <v>15525.588244628436</v>
      </c>
      <c r="V132" s="7">
        <f>$B132*'Distributor Payments'!T$21</f>
        <v>15525.588244628436</v>
      </c>
      <c r="W132" s="7">
        <f>$B132*'Distributor Payments'!U$21</f>
        <v>15525.588244628436</v>
      </c>
      <c r="X132" s="7">
        <f>B132*'Distributor Payments'!$V$21</f>
        <v>3800.2767798266132</v>
      </c>
      <c r="Y132" s="7">
        <v>0</v>
      </c>
      <c r="Z132" s="7">
        <f t="shared" ref="Z132:Z195" si="2">SUM(E132:Y132)</f>
        <v>265528.77206204488</v>
      </c>
    </row>
    <row r="133" spans="1:26" customFormat="1" x14ac:dyDescent="0.35">
      <c r="A133" s="3" t="s">
        <v>163</v>
      </c>
      <c r="B133" s="6">
        <v>2.51632892704675E-4</v>
      </c>
      <c r="C133" s="8" t="s">
        <v>164</v>
      </c>
      <c r="D133" s="33" t="s">
        <v>336</v>
      </c>
      <c r="E133" s="25">
        <v>1870.74</v>
      </c>
      <c r="F133" s="25">
        <v>2039.47</v>
      </c>
      <c r="G133" s="28">
        <v>2039.47</v>
      </c>
      <c r="H133" s="28">
        <v>4226.18</v>
      </c>
      <c r="I133" s="28">
        <v>1860.14</v>
      </c>
      <c r="J133" s="7">
        <f>$B133*'Distributor Payments'!H$21</f>
        <v>4226.1839397724043</v>
      </c>
      <c r="K133" s="7">
        <f>$B133*'Distributor Payments'!I$21</f>
        <v>4226.1839397318699</v>
      </c>
      <c r="L133" s="7">
        <f>$B133*'Distributor Payments'!J$21</f>
        <v>1610.1760809585317</v>
      </c>
      <c r="M133" s="7">
        <f>$B133*'Distributor Payments'!K$21</f>
        <v>4970.5014926347712</v>
      </c>
      <c r="N133" s="7">
        <f>$B133*'Distributor Payments'!L$21</f>
        <v>4970.5014926347712</v>
      </c>
      <c r="O133" s="7">
        <f>$B133*'Distributor Payments'!M$21</f>
        <v>4970.5014926347712</v>
      </c>
      <c r="P133" s="7">
        <f>$B133*'Distributor Payments'!N$21</f>
        <v>4178.2081344911221</v>
      </c>
      <c r="Q133" s="7">
        <f>$B133*'Distributor Payments'!O$21</f>
        <v>4178.2081344911221</v>
      </c>
      <c r="R133" s="7">
        <f>$B133*'Distributor Payments'!P$21</f>
        <v>4178.2081344911221</v>
      </c>
      <c r="S133" s="7">
        <f>$B133*'Distributor Payments'!Q$21</f>
        <v>4178.2081344911221</v>
      </c>
      <c r="T133" s="7">
        <f>$B133*'Distributor Payments'!R$21</f>
        <v>4178.2081344911221</v>
      </c>
      <c r="U133" s="7">
        <f>$B133*'Distributor Payments'!S$21</f>
        <v>4178.2081344911221</v>
      </c>
      <c r="V133" s="7">
        <f>$B133*'Distributor Payments'!T$21</f>
        <v>4178.2081344911221</v>
      </c>
      <c r="W133" s="7">
        <f>$B133*'Distributor Payments'!U$21</f>
        <v>4178.2081344911221</v>
      </c>
      <c r="X133" s="7">
        <f>B133*'Distributor Payments'!$V$21</f>
        <v>1022.7211429675069</v>
      </c>
      <c r="Y133" s="7">
        <v>0</v>
      </c>
      <c r="Z133" s="7">
        <f t="shared" si="2"/>
        <v>71458.434657263599</v>
      </c>
    </row>
    <row r="134" spans="1:26" customFormat="1" x14ac:dyDescent="0.35">
      <c r="A134" s="3" t="s">
        <v>163</v>
      </c>
      <c r="B134" s="6">
        <v>5.2980870657599998E-3</v>
      </c>
      <c r="C134" s="8" t="s">
        <v>163</v>
      </c>
      <c r="D134" s="33" t="s">
        <v>336</v>
      </c>
      <c r="E134" s="25">
        <v>38212.78</v>
      </c>
      <c r="F134" s="25">
        <v>41659.39</v>
      </c>
      <c r="G134" s="28">
        <v>41659.39</v>
      </c>
      <c r="H134" s="28">
        <v>88981.57</v>
      </c>
      <c r="I134" s="28">
        <v>39165.019999999997</v>
      </c>
      <c r="J134" s="7">
        <f>$B134*'Distributor Payments'!H$21</f>
        <v>88981.572433415116</v>
      </c>
      <c r="K134" s="7">
        <f>$B134*'Distributor Payments'!I$21</f>
        <v>88981.572432561676</v>
      </c>
      <c r="L134" s="7">
        <f>$B134*'Distributor Payments'!J$21</f>
        <v>33901.979095136121</v>
      </c>
      <c r="M134" s="7">
        <f>$B134*'Distributor Payments'!K$21</f>
        <v>104653.04986727517</v>
      </c>
      <c r="N134" s="7">
        <f>$B134*'Distributor Payments'!L$21</f>
        <v>104653.04986727517</v>
      </c>
      <c r="O134" s="7">
        <f>$B134*'Distributor Payments'!M$21</f>
        <v>104653.04986727517</v>
      </c>
      <c r="P134" s="7">
        <f>$B134*'Distributor Payments'!N$21</f>
        <v>87971.450144957009</v>
      </c>
      <c r="Q134" s="7">
        <f>$B134*'Distributor Payments'!O$21</f>
        <v>87971.450144957009</v>
      </c>
      <c r="R134" s="7">
        <f>$B134*'Distributor Payments'!P$21</f>
        <v>87971.450144957009</v>
      </c>
      <c r="S134" s="7">
        <f>$B134*'Distributor Payments'!Q$21</f>
        <v>87971.450144957009</v>
      </c>
      <c r="T134" s="7">
        <f>$B134*'Distributor Payments'!R$21</f>
        <v>87971.450144957009</v>
      </c>
      <c r="U134" s="7">
        <f>$B134*'Distributor Payments'!S$21</f>
        <v>87971.450144957009</v>
      </c>
      <c r="V134" s="7">
        <f>$B134*'Distributor Payments'!T$21</f>
        <v>87971.450144957009</v>
      </c>
      <c r="W134" s="7">
        <f>$B134*'Distributor Payments'!U$21</f>
        <v>87971.450144957009</v>
      </c>
      <c r="X134" s="7">
        <f>B134*'Distributor Payments'!$V$21</f>
        <v>21533.216906562091</v>
      </c>
      <c r="Y134" s="7">
        <v>0</v>
      </c>
      <c r="Z134" s="7">
        <f t="shared" si="2"/>
        <v>1500807.2416291567</v>
      </c>
    </row>
    <row r="135" spans="1:26" customFormat="1" x14ac:dyDescent="0.35">
      <c r="A135" s="3" t="s">
        <v>165</v>
      </c>
      <c r="B135" s="6">
        <v>3.5979730057600005E-3</v>
      </c>
      <c r="C135" s="8" t="s">
        <v>165</v>
      </c>
      <c r="D135" s="33" t="s">
        <v>336</v>
      </c>
      <c r="E135" s="25">
        <v>25950.6</v>
      </c>
      <c r="F135" s="25">
        <v>28291.22</v>
      </c>
      <c r="G135" s="28">
        <v>28291.22</v>
      </c>
      <c r="H135" s="28">
        <v>60428.09</v>
      </c>
      <c r="I135" s="28">
        <v>26597.279999999999</v>
      </c>
      <c r="J135" s="7">
        <f>$B135*'Distributor Payments'!H$21</f>
        <v>60428.092564685037</v>
      </c>
      <c r="K135" s="7">
        <f>$B135*'Distributor Payments'!I$21</f>
        <v>60428.092564105456</v>
      </c>
      <c r="L135" s="7">
        <f>$B135*'Distributor Payments'!J$21</f>
        <v>23023.103265790152</v>
      </c>
      <c r="M135" s="7">
        <f>$B135*'Distributor Payments'!K$21</f>
        <v>71070.71735879402</v>
      </c>
      <c r="N135" s="7">
        <f>$B135*'Distributor Payments'!L$21</f>
        <v>71070.71735879402</v>
      </c>
      <c r="O135" s="7">
        <f>$B135*'Distributor Payments'!M$21</f>
        <v>71070.71735879402</v>
      </c>
      <c r="P135" s="7">
        <f>$B135*'Distributor Payments'!N$21</f>
        <v>59742.110495821573</v>
      </c>
      <c r="Q135" s="7">
        <f>$B135*'Distributor Payments'!O$21</f>
        <v>59742.110495821573</v>
      </c>
      <c r="R135" s="7">
        <f>$B135*'Distributor Payments'!P$21</f>
        <v>59742.110495821573</v>
      </c>
      <c r="S135" s="7">
        <f>$B135*'Distributor Payments'!Q$21</f>
        <v>59742.110495821573</v>
      </c>
      <c r="T135" s="7">
        <f>$B135*'Distributor Payments'!R$21</f>
        <v>59742.110495821573</v>
      </c>
      <c r="U135" s="7">
        <f>$B135*'Distributor Payments'!S$21</f>
        <v>59742.110495821573</v>
      </c>
      <c r="V135" s="7">
        <f>$B135*'Distributor Payments'!T$21</f>
        <v>59742.110495821573</v>
      </c>
      <c r="W135" s="7">
        <f>$B135*'Distributor Payments'!U$21</f>
        <v>59742.110495821573</v>
      </c>
      <c r="X135" s="7">
        <f>B135*'Distributor Payments'!$V$21</f>
        <v>14623.37862616297</v>
      </c>
      <c r="Y135" s="7">
        <v>0</v>
      </c>
      <c r="Z135" s="7">
        <f t="shared" si="2"/>
        <v>1019210.1130636983</v>
      </c>
    </row>
    <row r="136" spans="1:26" customFormat="1" x14ac:dyDescent="0.35">
      <c r="A136" s="3" t="s">
        <v>166</v>
      </c>
      <c r="B136" s="6">
        <v>1.23477897536E-3</v>
      </c>
      <c r="C136" s="8" t="s">
        <v>166</v>
      </c>
      <c r="D136" s="33" t="s">
        <v>336</v>
      </c>
      <c r="E136" s="25">
        <v>8905.92</v>
      </c>
      <c r="F136" s="25">
        <v>9709.19</v>
      </c>
      <c r="G136" s="28">
        <v>9709.19</v>
      </c>
      <c r="H136" s="28">
        <v>20738.16</v>
      </c>
      <c r="I136" s="28">
        <v>9127.85</v>
      </c>
      <c r="J136" s="7">
        <f>$B136*'Distributor Payments'!H$21</f>
        <v>20738.15954164448</v>
      </c>
      <c r="K136" s="7">
        <f>$B136*'Distributor Payments'!I$21</f>
        <v>20738.159541445573</v>
      </c>
      <c r="L136" s="7">
        <f>$B136*'Distributor Payments'!J$21</f>
        <v>7901.2387849015804</v>
      </c>
      <c r="M136" s="7">
        <f>$B136*'Distributor Payments'!K$21</f>
        <v>24390.574197722472</v>
      </c>
      <c r="N136" s="7">
        <f>$B136*'Distributor Payments'!L$21</f>
        <v>24390.574197722472</v>
      </c>
      <c r="O136" s="7">
        <f>$B136*'Distributor Payments'!M$21</f>
        <v>24390.574197722472</v>
      </c>
      <c r="P136" s="7">
        <f>$B136*'Distributor Payments'!N$21</f>
        <v>20502.739143895375</v>
      </c>
      <c r="Q136" s="7">
        <f>$B136*'Distributor Payments'!O$21</f>
        <v>20502.739143895375</v>
      </c>
      <c r="R136" s="7">
        <f>$B136*'Distributor Payments'!P$21</f>
        <v>20502.739143895375</v>
      </c>
      <c r="S136" s="7">
        <f>$B136*'Distributor Payments'!Q$21</f>
        <v>20502.739143895375</v>
      </c>
      <c r="T136" s="7">
        <f>$B136*'Distributor Payments'!R$21</f>
        <v>20502.739143895375</v>
      </c>
      <c r="U136" s="7">
        <f>$B136*'Distributor Payments'!S$21</f>
        <v>20502.739143895375</v>
      </c>
      <c r="V136" s="7">
        <f>$B136*'Distributor Payments'!T$21</f>
        <v>20502.739143895375</v>
      </c>
      <c r="W136" s="7">
        <f>$B136*'Distributor Payments'!U$21</f>
        <v>20502.739143895375</v>
      </c>
      <c r="X136" s="7">
        <f>B136*'Distributor Payments'!$V$21</f>
        <v>5018.55918524345</v>
      </c>
      <c r="Y136" s="7">
        <v>0</v>
      </c>
      <c r="Z136" s="7">
        <f t="shared" si="2"/>
        <v>349780.06279756554</v>
      </c>
    </row>
    <row r="137" spans="1:26" customFormat="1" x14ac:dyDescent="0.35">
      <c r="A137" s="3" t="s">
        <v>98</v>
      </c>
      <c r="B137" s="6">
        <v>1.0289042960000001E-4</v>
      </c>
      <c r="C137" s="8" t="s">
        <v>167</v>
      </c>
      <c r="D137" s="33" t="s">
        <v>336</v>
      </c>
      <c r="E137" s="25">
        <v>742.1</v>
      </c>
      <c r="F137" s="25">
        <v>809.04</v>
      </c>
      <c r="G137" s="28">
        <v>809.04</v>
      </c>
      <c r="H137" s="28">
        <v>1728.05</v>
      </c>
      <c r="I137" s="28">
        <v>760.6</v>
      </c>
      <c r="J137" s="7">
        <f>$B137*'Distributor Payments'!H$21</f>
        <v>1728.0486523760596</v>
      </c>
      <c r="K137" s="7">
        <f>$B137*'Distributor Payments'!I$21</f>
        <v>1728.0486523594855</v>
      </c>
      <c r="L137" s="7">
        <f>$B137*'Distributor Payments'!J$21</f>
        <v>658.38653651653453</v>
      </c>
      <c r="M137" s="7">
        <f>$B137*'Distributor Payments'!K$21</f>
        <v>2032.3934141028594</v>
      </c>
      <c r="N137" s="7">
        <f>$B137*'Distributor Payments'!L$21</f>
        <v>2032.3934141028594</v>
      </c>
      <c r="O137" s="7">
        <f>$B137*'Distributor Payments'!M$21</f>
        <v>2032.3934141028594</v>
      </c>
      <c r="P137" s="7">
        <f>$B137*'Distributor Payments'!N$21</f>
        <v>1708.4317765267231</v>
      </c>
      <c r="Q137" s="7">
        <f>$B137*'Distributor Payments'!O$21</f>
        <v>1708.4317765267231</v>
      </c>
      <c r="R137" s="7">
        <f>$B137*'Distributor Payments'!P$21</f>
        <v>1708.4317765267231</v>
      </c>
      <c r="S137" s="7">
        <f>$B137*'Distributor Payments'!Q$21</f>
        <v>1708.4317765267231</v>
      </c>
      <c r="T137" s="7">
        <f>$B137*'Distributor Payments'!R$21</f>
        <v>1708.4317765267231</v>
      </c>
      <c r="U137" s="7">
        <f>$B137*'Distributor Payments'!S$21</f>
        <v>1708.4317765267231</v>
      </c>
      <c r="V137" s="7">
        <f>$B137*'Distributor Payments'!T$21</f>
        <v>1708.4317765267231</v>
      </c>
      <c r="W137" s="7">
        <f>$B137*'Distributor Payments'!U$21</f>
        <v>1708.4317765267231</v>
      </c>
      <c r="X137" s="7">
        <f>B137*'Distributor Payments'!$V$21</f>
        <v>418.18148903303063</v>
      </c>
      <c r="Y137" s="7">
        <v>0</v>
      </c>
      <c r="Z137" s="7">
        <f t="shared" si="2"/>
        <v>29146.129784807468</v>
      </c>
    </row>
    <row r="138" spans="1:26" customFormat="1" x14ac:dyDescent="0.35">
      <c r="A138" s="3" t="s">
        <v>168</v>
      </c>
      <c r="B138" s="6">
        <v>6.4066292393600011E-3</v>
      </c>
      <c r="C138" s="8" t="s">
        <v>168</v>
      </c>
      <c r="D138" s="33" t="s">
        <v>336</v>
      </c>
      <c r="E138" s="25">
        <v>46208.2</v>
      </c>
      <c r="F138" s="25">
        <v>50375.96</v>
      </c>
      <c r="G138" s="28">
        <v>50375.96</v>
      </c>
      <c r="H138" s="28">
        <v>107599.58</v>
      </c>
      <c r="I138" s="28">
        <v>47359.69</v>
      </c>
      <c r="J138" s="7">
        <f>$B138*'Distributor Payments'!H$21</f>
        <v>107599.58012022052</v>
      </c>
      <c r="K138" s="7">
        <f>$B138*'Distributor Payments'!I$21</f>
        <v>107599.58011918851</v>
      </c>
      <c r="L138" s="7">
        <f>$B138*'Distributor Payments'!J$21</f>
        <v>40995.440023391551</v>
      </c>
      <c r="M138" s="7">
        <f>$B138*'Distributor Payments'!K$21</f>
        <v>126550.070043386</v>
      </c>
      <c r="N138" s="7">
        <f>$B138*'Distributor Payments'!L$21</f>
        <v>126550.070043386</v>
      </c>
      <c r="O138" s="7">
        <f>$B138*'Distributor Payments'!M$21</f>
        <v>126550.070043386</v>
      </c>
      <c r="P138" s="7">
        <f>$B138*'Distributor Payments'!N$21</f>
        <v>106378.10548074389</v>
      </c>
      <c r="Q138" s="7">
        <f>$B138*'Distributor Payments'!O$21</f>
        <v>106378.10548074389</v>
      </c>
      <c r="R138" s="7">
        <f>$B138*'Distributor Payments'!P$21</f>
        <v>106378.10548074389</v>
      </c>
      <c r="S138" s="7">
        <f>$B138*'Distributor Payments'!Q$21</f>
        <v>106378.10548074389</v>
      </c>
      <c r="T138" s="7">
        <f>$B138*'Distributor Payments'!R$21</f>
        <v>106378.10548074389</v>
      </c>
      <c r="U138" s="7">
        <f>$B138*'Distributor Payments'!S$21</f>
        <v>106378.10548074389</v>
      </c>
      <c r="V138" s="7">
        <f>$B138*'Distributor Payments'!T$21</f>
        <v>106378.10548074389</v>
      </c>
      <c r="W138" s="7">
        <f>$B138*'Distributor Payments'!U$21</f>
        <v>106378.10548074389</v>
      </c>
      <c r="X138" s="7">
        <f>B138*'Distributor Payments'!$V$21</f>
        <v>26038.707053839702</v>
      </c>
      <c r="Y138" s="7">
        <v>0</v>
      </c>
      <c r="Z138" s="7">
        <f t="shared" si="2"/>
        <v>1814827.7512927488</v>
      </c>
    </row>
    <row r="139" spans="1:26" customFormat="1" x14ac:dyDescent="0.35">
      <c r="A139" s="3" t="s">
        <v>55</v>
      </c>
      <c r="B139" s="6">
        <v>1.9759611312000001E-3</v>
      </c>
      <c r="C139" s="8" t="s">
        <v>169</v>
      </c>
      <c r="D139" s="33" t="s">
        <v>336</v>
      </c>
      <c r="E139" s="25">
        <v>14251.74</v>
      </c>
      <c r="F139" s="25">
        <v>15537.18</v>
      </c>
      <c r="G139" s="28">
        <v>15537.18</v>
      </c>
      <c r="H139" s="28">
        <v>33186.339999999997</v>
      </c>
      <c r="I139" s="28">
        <v>14606.89</v>
      </c>
      <c r="J139" s="7">
        <f>$B139*'Distributor Payments'!H$21</f>
        <v>33186.341851153418</v>
      </c>
      <c r="K139" s="7">
        <f>$B139*'Distributor Payments'!I$21</f>
        <v>33186.341850835117</v>
      </c>
      <c r="L139" s="7">
        <f>$B139*'Distributor Payments'!J$21</f>
        <v>12643.996244545388</v>
      </c>
      <c r="M139" s="7">
        <f>$B139*'Distributor Payments'!K$21</f>
        <v>39031.136376692863</v>
      </c>
      <c r="N139" s="7">
        <f>$B139*'Distributor Payments'!L$21</f>
        <v>39031.136376692863</v>
      </c>
      <c r="O139" s="7">
        <f>$B139*'Distributor Payments'!M$21</f>
        <v>39031.136376692863</v>
      </c>
      <c r="P139" s="7">
        <f>$B139*'Distributor Payments'!N$21</f>
        <v>32809.60920124071</v>
      </c>
      <c r="Q139" s="7">
        <f>$B139*'Distributor Payments'!O$21</f>
        <v>32809.60920124071</v>
      </c>
      <c r="R139" s="7">
        <f>$B139*'Distributor Payments'!P$21</f>
        <v>32809.60920124071</v>
      </c>
      <c r="S139" s="7">
        <f>$B139*'Distributor Payments'!Q$21</f>
        <v>32809.60920124071</v>
      </c>
      <c r="T139" s="7">
        <f>$B139*'Distributor Payments'!R$21</f>
        <v>32809.60920124071</v>
      </c>
      <c r="U139" s="7">
        <f>$B139*'Distributor Payments'!S$21</f>
        <v>32809.60920124071</v>
      </c>
      <c r="V139" s="7">
        <f>$B139*'Distributor Payments'!T$21</f>
        <v>32809.60920124071</v>
      </c>
      <c r="W139" s="7">
        <f>$B139*'Distributor Payments'!U$21</f>
        <v>32809.60920124071</v>
      </c>
      <c r="X139" s="7">
        <f>B139*'Distributor Payments'!$V$21</f>
        <v>8030.9740306168142</v>
      </c>
      <c r="Y139" s="7">
        <v>0</v>
      </c>
      <c r="Z139" s="7">
        <f t="shared" si="2"/>
        <v>559737.266717155</v>
      </c>
    </row>
    <row r="140" spans="1:26" customFormat="1" x14ac:dyDescent="0.35">
      <c r="A140" s="3" t="s">
        <v>55</v>
      </c>
      <c r="B140" s="6">
        <v>6.0799556252141423E-3</v>
      </c>
      <c r="C140" s="8" t="s">
        <v>55</v>
      </c>
      <c r="D140" s="33" t="s">
        <v>336</v>
      </c>
      <c r="E140" s="25">
        <v>45200.87</v>
      </c>
      <c r="F140" s="25">
        <v>49277.77</v>
      </c>
      <c r="G140" s="28">
        <v>49277.77</v>
      </c>
      <c r="H140" s="28">
        <v>102113.08</v>
      </c>
      <c r="I140" s="28">
        <v>44944.83</v>
      </c>
      <c r="J140" s="7">
        <f>$B140*'Distributor Payments'!H$21</f>
        <v>102113.08442877316</v>
      </c>
      <c r="K140" s="7">
        <f>$B140*'Distributor Payments'!I$21</f>
        <v>102113.08442779377</v>
      </c>
      <c r="L140" s="7">
        <f>$B140*'Distributor Payments'!J$21</f>
        <v>38905.085165073113</v>
      </c>
      <c r="M140" s="7">
        <f>$B140*'Distributor Payments'!K$21</f>
        <v>120097.29008579098</v>
      </c>
      <c r="N140" s="7">
        <f>$B140*'Distributor Payments'!L$21</f>
        <v>120097.29008579098</v>
      </c>
      <c r="O140" s="7">
        <f>$B140*'Distributor Payments'!M$21</f>
        <v>120097.29008579098</v>
      </c>
      <c r="P140" s="7">
        <f>$B140*'Distributor Payments'!N$21</f>
        <v>100953.89270284706</v>
      </c>
      <c r="Q140" s="7">
        <f>$B140*'Distributor Payments'!O$21</f>
        <v>100953.89270284706</v>
      </c>
      <c r="R140" s="7">
        <f>$B140*'Distributor Payments'!P$21</f>
        <v>100953.89270284706</v>
      </c>
      <c r="S140" s="7">
        <f>$B140*'Distributor Payments'!Q$21</f>
        <v>100953.89270284706</v>
      </c>
      <c r="T140" s="7">
        <f>$B140*'Distributor Payments'!R$21</f>
        <v>100953.89270284706</v>
      </c>
      <c r="U140" s="7">
        <f>$B140*'Distributor Payments'!S$21</f>
        <v>100953.89270284706</v>
      </c>
      <c r="V140" s="7">
        <f>$B140*'Distributor Payments'!T$21</f>
        <v>100953.89270284706</v>
      </c>
      <c r="W140" s="7">
        <f>$B140*'Distributor Payments'!U$21</f>
        <v>100953.89270284706</v>
      </c>
      <c r="X140" s="7">
        <f>B140*'Distributor Payments'!$V$21</f>
        <v>24710.995050668935</v>
      </c>
      <c r="Y140" s="7">
        <v>0</v>
      </c>
      <c r="Z140" s="7">
        <f t="shared" si="2"/>
        <v>1726579.5809524583</v>
      </c>
    </row>
    <row r="141" spans="1:26" customFormat="1" x14ac:dyDescent="0.35">
      <c r="A141" s="3" t="s">
        <v>83</v>
      </c>
      <c r="B141" s="6">
        <v>2.9137306090064893E-4</v>
      </c>
      <c r="C141" s="8" t="s">
        <v>170</v>
      </c>
      <c r="D141" s="33" t="s">
        <v>336</v>
      </c>
      <c r="E141" s="25">
        <v>2166.19</v>
      </c>
      <c r="F141" s="29">
        <v>2361.5700000000002</v>
      </c>
      <c r="G141" s="28">
        <v>2361.5700000000002</v>
      </c>
      <c r="H141" s="28">
        <v>4893.62</v>
      </c>
      <c r="I141" s="28">
        <v>2153.92</v>
      </c>
      <c r="J141" s="7">
        <f>$B141*'Distributor Payments'!H$21</f>
        <v>4893.6215660241924</v>
      </c>
      <c r="K141" s="7">
        <f>$B141*'Distributor Payments'!I$21</f>
        <v>4893.6215659772561</v>
      </c>
      <c r="L141" s="7">
        <f>$B141*'Distributor Payments'!J$21</f>
        <v>1864.4698165454984</v>
      </c>
      <c r="M141" s="7">
        <f>$B141*'Distributor Payments'!K$21</f>
        <v>5755.4885553852346</v>
      </c>
      <c r="N141" s="7">
        <f>$B141*'Distributor Payments'!L$21</f>
        <v>5755.4885553852346</v>
      </c>
      <c r="O141" s="7">
        <f>$B141*'Distributor Payments'!M$21</f>
        <v>5755.4885553852346</v>
      </c>
      <c r="P141" s="7">
        <f>$B141*'Distributor Payments'!N$21</f>
        <v>4838.0689827202805</v>
      </c>
      <c r="Q141" s="7">
        <f>$B141*'Distributor Payments'!O$21</f>
        <v>4838.0689827202805</v>
      </c>
      <c r="R141" s="7">
        <f>$B141*'Distributor Payments'!P$21</f>
        <v>4838.0689827202805</v>
      </c>
      <c r="S141" s="7">
        <f>$B141*'Distributor Payments'!Q$21</f>
        <v>4838.0689827202805</v>
      </c>
      <c r="T141" s="7">
        <f>$B141*'Distributor Payments'!R$21</f>
        <v>4838.0689827202805</v>
      </c>
      <c r="U141" s="7">
        <f>$B141*'Distributor Payments'!S$21</f>
        <v>4838.0689827202805</v>
      </c>
      <c r="V141" s="7">
        <f>$B141*'Distributor Payments'!T$21</f>
        <v>4838.0689827202805</v>
      </c>
      <c r="W141" s="7">
        <f>$B141*'Distributor Payments'!U$21</f>
        <v>4838.0689827202805</v>
      </c>
      <c r="X141" s="7">
        <f>B141*'Distributor Payments'!$V$21</f>
        <v>1184.2386210772054</v>
      </c>
      <c r="Y141" s="7">
        <v>0</v>
      </c>
      <c r="Z141" s="7">
        <f t="shared" si="2"/>
        <v>82743.839097542135</v>
      </c>
    </row>
    <row r="142" spans="1:26" customFormat="1" x14ac:dyDescent="0.35">
      <c r="A142" s="3" t="s">
        <v>83</v>
      </c>
      <c r="B142" s="6">
        <v>2.1211915461277551E-3</v>
      </c>
      <c r="C142" s="8" t="s">
        <v>171</v>
      </c>
      <c r="D142" s="33" t="s">
        <v>336</v>
      </c>
      <c r="E142" s="25">
        <v>15769.8</v>
      </c>
      <c r="F142" s="25">
        <v>17192.16</v>
      </c>
      <c r="G142" s="28">
        <v>17192.16</v>
      </c>
      <c r="H142" s="28">
        <v>35625.49</v>
      </c>
      <c r="I142" s="28">
        <v>15680.47</v>
      </c>
      <c r="J142" s="7">
        <f>$B142*'Distributor Payments'!H$21</f>
        <v>35625.492156731721</v>
      </c>
      <c r="K142" s="7">
        <f>$B142*'Distributor Payments'!I$21</f>
        <v>35625.492156390028</v>
      </c>
      <c r="L142" s="7">
        <f>$B142*'Distributor Payments'!J$21</f>
        <v>13573.312510916034</v>
      </c>
      <c r="M142" s="7">
        <f>$B142*'Distributor Payments'!K$21</f>
        <v>41899.871009973031</v>
      </c>
      <c r="N142" s="7">
        <f>$B142*'Distributor Payments'!L$21</f>
        <v>41899.871009973031</v>
      </c>
      <c r="O142" s="7">
        <f>$B142*'Distributor Payments'!M$21</f>
        <v>41899.871009973031</v>
      </c>
      <c r="P142" s="7">
        <f>$B142*'Distributor Payments'!N$21</f>
        <v>35221.070177206326</v>
      </c>
      <c r="Q142" s="7">
        <f>$B142*'Distributor Payments'!O$21</f>
        <v>35221.070177206326</v>
      </c>
      <c r="R142" s="7">
        <f>$B142*'Distributor Payments'!P$21</f>
        <v>35221.070177206326</v>
      </c>
      <c r="S142" s="7">
        <f>$B142*'Distributor Payments'!Q$21</f>
        <v>35221.070177206326</v>
      </c>
      <c r="T142" s="7">
        <f>$B142*'Distributor Payments'!R$21</f>
        <v>35221.070177206326</v>
      </c>
      <c r="U142" s="7">
        <f>$B142*'Distributor Payments'!S$21</f>
        <v>35221.070177206326</v>
      </c>
      <c r="V142" s="7">
        <f>$B142*'Distributor Payments'!T$21</f>
        <v>35221.070177206326</v>
      </c>
      <c r="W142" s="7">
        <f>$B142*'Distributor Payments'!U$21</f>
        <v>35221.070177206326</v>
      </c>
      <c r="X142" s="7">
        <f>B142*'Distributor Payments'!$V$21</f>
        <v>8621.2395334772809</v>
      </c>
      <c r="Y142" s="7">
        <v>0</v>
      </c>
      <c r="Z142" s="7">
        <f t="shared" si="2"/>
        <v>602373.79080508451</v>
      </c>
    </row>
    <row r="143" spans="1:26" customFormat="1" x14ac:dyDescent="0.35">
      <c r="A143" s="3" t="s">
        <v>83</v>
      </c>
      <c r="B143" s="6">
        <v>2.1433248383400001E-2</v>
      </c>
      <c r="C143" s="8" t="s">
        <v>83</v>
      </c>
      <c r="D143" s="33" t="s">
        <v>336</v>
      </c>
      <c r="E143" s="25">
        <v>154588.60999999999</v>
      </c>
      <c r="F143" s="25">
        <v>168531.77</v>
      </c>
      <c r="G143" s="28">
        <v>168531.77</v>
      </c>
      <c r="H143" s="28">
        <v>359972.22</v>
      </c>
      <c r="I143" s="28">
        <v>158440.9</v>
      </c>
      <c r="J143" s="7">
        <f>$B143*'Distributor Payments'!H$21</f>
        <v>359972.21635641542</v>
      </c>
      <c r="K143" s="7">
        <f>$B143*'Distributor Payments'!I$21</f>
        <v>359972.21635296283</v>
      </c>
      <c r="L143" s="7">
        <f>$B143*'Distributor Payments'!J$21</f>
        <v>137149.41442372341</v>
      </c>
      <c r="M143" s="7">
        <f>$B143*'Distributor Payments'!K$21</f>
        <v>423370.69663914508</v>
      </c>
      <c r="N143" s="7">
        <f>$B143*'Distributor Payments'!L$21</f>
        <v>423370.69663914508</v>
      </c>
      <c r="O143" s="7">
        <f>$B143*'Distributor Payments'!M$21</f>
        <v>423370.69663914508</v>
      </c>
      <c r="P143" s="7">
        <f>$B143*'Distributor Payments'!N$21</f>
        <v>355885.79768541054</v>
      </c>
      <c r="Q143" s="7">
        <f>$B143*'Distributor Payments'!O$21</f>
        <v>355885.79768541054</v>
      </c>
      <c r="R143" s="7">
        <f>$B143*'Distributor Payments'!P$21</f>
        <v>355885.79768541054</v>
      </c>
      <c r="S143" s="7">
        <f>$B143*'Distributor Payments'!Q$21</f>
        <v>355885.79768541054</v>
      </c>
      <c r="T143" s="7">
        <f>$B143*'Distributor Payments'!R$21</f>
        <v>355885.79768541054</v>
      </c>
      <c r="U143" s="7">
        <f>$B143*'Distributor Payments'!S$21</f>
        <v>355885.79768541054</v>
      </c>
      <c r="V143" s="7">
        <f>$B143*'Distributor Payments'!T$21</f>
        <v>355885.79768541054</v>
      </c>
      <c r="W143" s="7">
        <f>$B143*'Distributor Payments'!U$21</f>
        <v>355885.79768541054</v>
      </c>
      <c r="X143" s="7">
        <f>B143*'Distributor Payments'!$V$21</f>
        <v>87111.967154086102</v>
      </c>
      <c r="Y143" s="7">
        <v>0</v>
      </c>
      <c r="Z143" s="7">
        <f t="shared" si="2"/>
        <v>6071469.5556879081</v>
      </c>
    </row>
    <row r="144" spans="1:26" customFormat="1" x14ac:dyDescent="0.35">
      <c r="A144" s="3" t="s">
        <v>172</v>
      </c>
      <c r="B144" s="6">
        <v>9.2212331993423379E-4</v>
      </c>
      <c r="C144" s="8" t="s">
        <v>172</v>
      </c>
      <c r="D144" s="33" t="s">
        <v>336</v>
      </c>
      <c r="E144" s="25">
        <v>6855.44</v>
      </c>
      <c r="F144" s="25">
        <v>7473.77</v>
      </c>
      <c r="G144" s="28">
        <v>7473.77</v>
      </c>
      <c r="H144" s="28">
        <v>15487.1</v>
      </c>
      <c r="I144" s="28">
        <v>6816.61</v>
      </c>
      <c r="J144" s="7">
        <f>$B144*'Distributor Payments'!H$21</f>
        <v>15487.095996505497</v>
      </c>
      <c r="K144" s="7">
        <f>$B144*'Distributor Payments'!I$21</f>
        <v>15487.095996356957</v>
      </c>
      <c r="L144" s="7">
        <f>$B144*'Distributor Payments'!J$21</f>
        <v>5900.5835743213611</v>
      </c>
      <c r="M144" s="7">
        <f>$B144*'Distributor Payments'!K$21</f>
        <v>18214.69080954251</v>
      </c>
      <c r="N144" s="7">
        <f>$B144*'Distributor Payments'!L$21</f>
        <v>18214.69080954251</v>
      </c>
      <c r="O144" s="7">
        <f>$B144*'Distributor Payments'!M$21</f>
        <v>18214.69080954251</v>
      </c>
      <c r="P144" s="7">
        <f>$B144*'Distributor Payments'!N$21</f>
        <v>15311.285877379238</v>
      </c>
      <c r="Q144" s="7">
        <f>$B144*'Distributor Payments'!O$21</f>
        <v>15311.285877379238</v>
      </c>
      <c r="R144" s="7">
        <f>$B144*'Distributor Payments'!P$21</f>
        <v>15311.285877379238</v>
      </c>
      <c r="S144" s="7">
        <f>$B144*'Distributor Payments'!Q$21</f>
        <v>15311.285877379238</v>
      </c>
      <c r="T144" s="7">
        <f>$B144*'Distributor Payments'!R$21</f>
        <v>15311.285877379238</v>
      </c>
      <c r="U144" s="7">
        <f>$B144*'Distributor Payments'!S$21</f>
        <v>15311.285877379238</v>
      </c>
      <c r="V144" s="7">
        <f>$B144*'Distributor Payments'!T$21</f>
        <v>15311.285877379238</v>
      </c>
      <c r="W144" s="7">
        <f>$B144*'Distributor Payments'!U$21</f>
        <v>15311.285877379238</v>
      </c>
      <c r="X144" s="7">
        <f>B144*'Distributor Payments'!$V$21</f>
        <v>3747.8209052222633</v>
      </c>
      <c r="Y144" s="7">
        <v>0</v>
      </c>
      <c r="Z144" s="7">
        <f t="shared" si="2"/>
        <v>261863.64592006756</v>
      </c>
    </row>
    <row r="145" spans="1:26" customFormat="1" x14ac:dyDescent="0.35">
      <c r="A145" s="3" t="s">
        <v>14</v>
      </c>
      <c r="B145" s="6">
        <v>3.0032920160640002E-2</v>
      </c>
      <c r="C145" s="8" t="s">
        <v>14</v>
      </c>
      <c r="D145" s="33" t="s">
        <v>336</v>
      </c>
      <c r="E145" s="25">
        <v>221616.85</v>
      </c>
      <c r="F145" s="25">
        <v>236803.68</v>
      </c>
      <c r="G145" s="28">
        <v>236803.67654210739</v>
      </c>
      <c r="H145" s="28">
        <v>505754.76159225759</v>
      </c>
      <c r="I145" s="28">
        <v>222606.73123055996</v>
      </c>
      <c r="J145" s="7">
        <f>$B145*'Distributor Payments'!H$21</f>
        <v>504404.02875440754</v>
      </c>
      <c r="K145" s="7">
        <f>$B145*'Distributor Payments'!I$21</f>
        <v>504404.02874956967</v>
      </c>
      <c r="L145" s="7">
        <f>$B145*'Distributor Payments'!J$21</f>
        <v>192177.93494412012</v>
      </c>
      <c r="M145" s="7">
        <f>$B145*'Distributor Payments'!K$21</f>
        <v>593239.90946541564</v>
      </c>
      <c r="N145" s="7">
        <f>$B145*'Distributor Payments'!L$21</f>
        <v>593239.90946541564</v>
      </c>
      <c r="O145" s="7">
        <f>$B145*'Distributor Payments'!M$21</f>
        <v>593239.90946541564</v>
      </c>
      <c r="P145" s="7">
        <f>$B145*'Distributor Payments'!N$21</f>
        <v>498678.01450337644</v>
      </c>
      <c r="Q145" s="7">
        <f>$B145*'Distributor Payments'!O$21</f>
        <v>498678.01450337644</v>
      </c>
      <c r="R145" s="7">
        <f>$B145*'Distributor Payments'!P$21</f>
        <v>498678.01450337644</v>
      </c>
      <c r="S145" s="7">
        <f>$B145*'Distributor Payments'!Q$21</f>
        <v>498678.01450337644</v>
      </c>
      <c r="T145" s="7">
        <f>$B145*'Distributor Payments'!R$21</f>
        <v>498678.01450337644</v>
      </c>
      <c r="U145" s="7">
        <f>$B145*'Distributor Payments'!S$21</f>
        <v>498678.01450337644</v>
      </c>
      <c r="V145" s="7">
        <f>$B145*'Distributor Payments'!T$21</f>
        <v>498678.01450337644</v>
      </c>
      <c r="W145" s="7">
        <f>$B145*'Distributor Payments'!U$21</f>
        <v>498678.01450337644</v>
      </c>
      <c r="X145" s="7">
        <f>B145*'Distributor Payments'!$V$21</f>
        <v>122063.94046183048</v>
      </c>
      <c r="Y145" s="7">
        <v>0</v>
      </c>
      <c r="Z145" s="7">
        <f t="shared" si="2"/>
        <v>8515779.4766981117</v>
      </c>
    </row>
    <row r="146" spans="1:26" customFormat="1" x14ac:dyDescent="0.35">
      <c r="A146" s="3" t="s">
        <v>14</v>
      </c>
      <c r="B146" s="6">
        <v>7.9717256827079659E-4</v>
      </c>
      <c r="C146" s="8" t="s">
        <v>173</v>
      </c>
      <c r="D146" s="33" t="s">
        <v>336</v>
      </c>
      <c r="E146" s="25">
        <v>5926.51</v>
      </c>
      <c r="F146" s="25">
        <v>6461.05</v>
      </c>
      <c r="G146" s="28">
        <v>6461.05</v>
      </c>
      <c r="H146" s="28">
        <v>13388.54</v>
      </c>
      <c r="I146" s="28">
        <v>5892.93</v>
      </c>
      <c r="J146" s="7">
        <f>$B146*'Distributor Payments'!H$21</f>
        <v>13388.543401625688</v>
      </c>
      <c r="K146" s="7">
        <f>$B146*'Distributor Payments'!I$21</f>
        <v>13388.543401497274</v>
      </c>
      <c r="L146" s="7">
        <f>$B146*'Distributor Payments'!J$21</f>
        <v>5101.0350357192056</v>
      </c>
      <c r="M146" s="7">
        <f>$B146*'Distributor Payments'!K$21</f>
        <v>15746.54011996689</v>
      </c>
      <c r="N146" s="7">
        <f>$B146*'Distributor Payments'!L$21</f>
        <v>15746.54011996689</v>
      </c>
      <c r="O146" s="7">
        <f>$B146*'Distributor Payments'!M$21</f>
        <v>15746.54011996689</v>
      </c>
      <c r="P146" s="7">
        <f>$B146*'Distributor Payments'!N$21</f>
        <v>13236.556133586668</v>
      </c>
      <c r="Q146" s="7">
        <f>$B146*'Distributor Payments'!O$21</f>
        <v>13236.556133586668</v>
      </c>
      <c r="R146" s="7">
        <f>$B146*'Distributor Payments'!P$21</f>
        <v>13236.556133586668</v>
      </c>
      <c r="S146" s="7">
        <f>$B146*'Distributor Payments'!Q$21</f>
        <v>13236.556133586668</v>
      </c>
      <c r="T146" s="7">
        <f>$B146*'Distributor Payments'!R$21</f>
        <v>13236.556133586668</v>
      </c>
      <c r="U146" s="7">
        <f>$B146*'Distributor Payments'!S$21</f>
        <v>13236.556133586668</v>
      </c>
      <c r="V146" s="7">
        <f>$B146*'Distributor Payments'!T$21</f>
        <v>13236.556133586668</v>
      </c>
      <c r="W146" s="7">
        <f>$B146*'Distributor Payments'!U$21</f>
        <v>13236.556133586668</v>
      </c>
      <c r="X146" s="7">
        <f>B146*'Distributor Payments'!$V$21</f>
        <v>3239.9788096109469</v>
      </c>
      <c r="Y146" s="7">
        <v>0</v>
      </c>
      <c r="Z146" s="7">
        <f t="shared" si="2"/>
        <v>226380.25007704718</v>
      </c>
    </row>
    <row r="147" spans="1:26" customFormat="1" x14ac:dyDescent="0.35">
      <c r="A147" s="3" t="s">
        <v>174</v>
      </c>
      <c r="B147" s="6">
        <v>3.7904728516649677E-5</v>
      </c>
      <c r="C147" s="8" t="s">
        <v>174</v>
      </c>
      <c r="D147" s="33" t="s">
        <v>336</v>
      </c>
      <c r="E147" s="25">
        <v>281.8</v>
      </c>
      <c r="F147" s="25">
        <v>307.22000000000003</v>
      </c>
      <c r="G147" s="28">
        <v>307.22000000000003</v>
      </c>
      <c r="H147" s="28">
        <v>636.61</v>
      </c>
      <c r="I147" s="28">
        <v>280.2</v>
      </c>
      <c r="J147" s="7">
        <f>$B147*'Distributor Payments'!H$21</f>
        <v>636.61134749384769</v>
      </c>
      <c r="K147" s="7">
        <f>$B147*'Distributor Payments'!I$21</f>
        <v>636.6113474877418</v>
      </c>
      <c r="L147" s="7">
        <f>$B147*'Distributor Payments'!J$21</f>
        <v>242.54892338088263</v>
      </c>
      <c r="M147" s="7">
        <f>$B147*'Distributor Payments'!K$21</f>
        <v>748.73164491671673</v>
      </c>
      <c r="N147" s="7">
        <f>$B147*'Distributor Payments'!L$21</f>
        <v>748.73164491671673</v>
      </c>
      <c r="O147" s="7">
        <f>$B147*'Distributor Payments'!M$21</f>
        <v>748.73164491671673</v>
      </c>
      <c r="P147" s="7">
        <f>$B147*'Distributor Payments'!N$21</f>
        <v>629.38451059264446</v>
      </c>
      <c r="Q147" s="7">
        <f>$B147*'Distributor Payments'!O$21</f>
        <v>629.38451059264446</v>
      </c>
      <c r="R147" s="7">
        <f>$B147*'Distributor Payments'!P$21</f>
        <v>629.38451059264446</v>
      </c>
      <c r="S147" s="7">
        <f>$B147*'Distributor Payments'!Q$21</f>
        <v>629.38451059264446</v>
      </c>
      <c r="T147" s="7">
        <f>$B147*'Distributor Payments'!R$21</f>
        <v>629.38451059264446</v>
      </c>
      <c r="U147" s="7">
        <f>$B147*'Distributor Payments'!S$21</f>
        <v>629.38451059264446</v>
      </c>
      <c r="V147" s="7">
        <f>$B147*'Distributor Payments'!T$21</f>
        <v>629.38451059264446</v>
      </c>
      <c r="W147" s="7">
        <f>$B147*'Distributor Payments'!U$21</f>
        <v>629.38451059264446</v>
      </c>
      <c r="X147" s="7">
        <f>B147*'Distributor Payments'!$V$21</f>
        <v>154.05763076418663</v>
      </c>
      <c r="Y147" s="7">
        <v>0</v>
      </c>
      <c r="Z147" s="7">
        <f t="shared" si="2"/>
        <v>10764.150268617967</v>
      </c>
    </row>
    <row r="148" spans="1:26" customFormat="1" x14ac:dyDescent="0.35">
      <c r="A148" s="3" t="s">
        <v>175</v>
      </c>
      <c r="B148" s="6">
        <v>8.157508475200001E-4</v>
      </c>
      <c r="C148" s="8" t="s">
        <v>175</v>
      </c>
      <c r="D148" s="33" t="s">
        <v>336</v>
      </c>
      <c r="E148" s="25">
        <v>5883.65</v>
      </c>
      <c r="F148" s="25">
        <v>6414.33</v>
      </c>
      <c r="G148" s="28">
        <v>6414.33</v>
      </c>
      <c r="H148" s="28">
        <v>13700.57</v>
      </c>
      <c r="I148" s="28">
        <v>6030.27</v>
      </c>
      <c r="J148" s="7">
        <f>$B148*'Distributor Payments'!H$21</f>
        <v>13700.566303511328</v>
      </c>
      <c r="K148" s="7">
        <f>$B148*'Distributor Payments'!I$21</f>
        <v>13700.566303379923</v>
      </c>
      <c r="L148" s="7">
        <f>$B148*'Distributor Payments'!J$21</f>
        <v>5219.9157613306388</v>
      </c>
      <c r="M148" s="7">
        <f>$B148*'Distributor Payments'!K$21</f>
        <v>16113.516645754911</v>
      </c>
      <c r="N148" s="7">
        <f>$B148*'Distributor Payments'!L$21</f>
        <v>16113.516645754911</v>
      </c>
      <c r="O148" s="7">
        <f>$B148*'Distributor Payments'!M$21</f>
        <v>16113.516645754911</v>
      </c>
      <c r="P148" s="7">
        <f>$B148*'Distributor Payments'!N$21</f>
        <v>13545.036939293464</v>
      </c>
      <c r="Q148" s="7">
        <f>$B148*'Distributor Payments'!O$21</f>
        <v>13545.036939293464</v>
      </c>
      <c r="R148" s="7">
        <f>$B148*'Distributor Payments'!P$21</f>
        <v>13545.036939293464</v>
      </c>
      <c r="S148" s="7">
        <f>$B148*'Distributor Payments'!Q$21</f>
        <v>13545.036939293464</v>
      </c>
      <c r="T148" s="7">
        <f>$B148*'Distributor Payments'!R$21</f>
        <v>13545.036939293464</v>
      </c>
      <c r="U148" s="7">
        <f>$B148*'Distributor Payments'!S$21</f>
        <v>13545.036939293464</v>
      </c>
      <c r="V148" s="7">
        <f>$B148*'Distributor Payments'!T$21</f>
        <v>13545.036939293464</v>
      </c>
      <c r="W148" s="7">
        <f>$B148*'Distributor Payments'!U$21</f>
        <v>13545.036939293464</v>
      </c>
      <c r="X148" s="7">
        <f>B148*'Distributor Payments'!$V$21</f>
        <v>3315.4872170527929</v>
      </c>
      <c r="Y148" s="7">
        <v>0</v>
      </c>
      <c r="Z148" s="7">
        <f t="shared" si="2"/>
        <v>231080.53103688711</v>
      </c>
    </row>
    <row r="149" spans="1:26" customFormat="1" x14ac:dyDescent="0.35">
      <c r="A149" s="3" t="s">
        <v>176</v>
      </c>
      <c r="B149" s="6">
        <v>6.1572607729999994E-3</v>
      </c>
      <c r="C149" s="8" t="s">
        <v>177</v>
      </c>
      <c r="D149" s="33" t="s">
        <v>336</v>
      </c>
      <c r="E149" s="25">
        <v>44409.62</v>
      </c>
      <c r="F149" s="25">
        <v>48415.16</v>
      </c>
      <c r="G149" s="28">
        <v>48415.16</v>
      </c>
      <c r="H149" s="28">
        <v>103411.43</v>
      </c>
      <c r="I149" s="28">
        <v>45516.29</v>
      </c>
      <c r="J149" s="7">
        <f>$B149*'Distributor Payments'!H$21</f>
        <v>103411.42730645789</v>
      </c>
      <c r="K149" s="7">
        <f>$B149*'Distributor Payments'!I$21</f>
        <v>103411.42730546604</v>
      </c>
      <c r="L149" s="7">
        <f>$B149*'Distributor Payments'!J$21</f>
        <v>39399.75380144189</v>
      </c>
      <c r="M149" s="7">
        <f>$B149*'Distributor Payments'!K$21</f>
        <v>121624.29773700818</v>
      </c>
      <c r="N149" s="7">
        <f>$B149*'Distributor Payments'!L$21</f>
        <v>121624.29773700818</v>
      </c>
      <c r="O149" s="7">
        <f>$B149*'Distributor Payments'!M$21</f>
        <v>121624.29773700818</v>
      </c>
      <c r="P149" s="7">
        <f>$B149*'Distributor Payments'!N$21</f>
        <v>102237.4967414335</v>
      </c>
      <c r="Q149" s="7">
        <f>$B149*'Distributor Payments'!O$21</f>
        <v>102237.4967414335</v>
      </c>
      <c r="R149" s="7">
        <f>$B149*'Distributor Payments'!P$21</f>
        <v>102237.4967414335</v>
      </c>
      <c r="S149" s="7">
        <f>$B149*'Distributor Payments'!Q$21</f>
        <v>102237.4967414335</v>
      </c>
      <c r="T149" s="7">
        <f>$B149*'Distributor Payments'!R$21</f>
        <v>102237.4967414335</v>
      </c>
      <c r="U149" s="7">
        <f>$B149*'Distributor Payments'!S$21</f>
        <v>102237.4967414335</v>
      </c>
      <c r="V149" s="7">
        <f>$B149*'Distributor Payments'!T$21</f>
        <v>102237.4967414335</v>
      </c>
      <c r="W149" s="7">
        <f>$B149*'Distributor Payments'!U$21</f>
        <v>102237.4967414335</v>
      </c>
      <c r="X149" s="7">
        <f>B149*'Distributor Payments'!$V$21</f>
        <v>25025.18930504892</v>
      </c>
      <c r="Y149" s="7">
        <v>0</v>
      </c>
      <c r="Z149" s="7">
        <f t="shared" si="2"/>
        <v>1744188.3248609067</v>
      </c>
    </row>
    <row r="150" spans="1:26" customFormat="1" x14ac:dyDescent="0.35">
      <c r="A150" s="3" t="s">
        <v>178</v>
      </c>
      <c r="B150" s="6">
        <v>4.4341650468934435E-3</v>
      </c>
      <c r="C150" s="8" t="s">
        <v>178</v>
      </c>
      <c r="D150" s="33" t="s">
        <v>336</v>
      </c>
      <c r="E150" s="25">
        <v>32965.39</v>
      </c>
      <c r="F150" s="25">
        <v>35938.71</v>
      </c>
      <c r="G150" s="28">
        <v>35938.71</v>
      </c>
      <c r="H150" s="28">
        <v>74471.97</v>
      </c>
      <c r="I150" s="28">
        <v>32778.660000000003</v>
      </c>
      <c r="J150" s="7">
        <f>$B150*'Distributor Payments'!H$21</f>
        <v>74471.969487211099</v>
      </c>
      <c r="K150" s="7">
        <f>$B150*'Distributor Payments'!I$21</f>
        <v>74471.969486496819</v>
      </c>
      <c r="L150" s="7">
        <f>$B150*'Distributor Payments'!J$21</f>
        <v>28373.820372957707</v>
      </c>
      <c r="M150" s="7">
        <f>$B150*'Distributor Payments'!K$21</f>
        <v>87588.008655290236</v>
      </c>
      <c r="N150" s="7">
        <f>$B150*'Distributor Payments'!L$21</f>
        <v>87588.008655290236</v>
      </c>
      <c r="O150" s="7">
        <f>$B150*'Distributor Payments'!M$21</f>
        <v>87588.008655290236</v>
      </c>
      <c r="P150" s="7">
        <f>$B150*'Distributor Payments'!N$21</f>
        <v>73626.560778563071</v>
      </c>
      <c r="Q150" s="7">
        <f>$B150*'Distributor Payments'!O$21</f>
        <v>73626.560778563071</v>
      </c>
      <c r="R150" s="7">
        <f>$B150*'Distributor Payments'!P$21</f>
        <v>73626.560778563071</v>
      </c>
      <c r="S150" s="7">
        <f>$B150*'Distributor Payments'!Q$21</f>
        <v>73626.560778563071</v>
      </c>
      <c r="T150" s="7">
        <f>$B150*'Distributor Payments'!R$21</f>
        <v>73626.560778563071</v>
      </c>
      <c r="U150" s="7">
        <f>$B150*'Distributor Payments'!S$21</f>
        <v>73626.560778563071</v>
      </c>
      <c r="V150" s="7">
        <f>$B150*'Distributor Payments'!T$21</f>
        <v>73626.560778563071</v>
      </c>
      <c r="W150" s="7">
        <f>$B150*'Distributor Payments'!U$21</f>
        <v>73626.560778563071</v>
      </c>
      <c r="X150" s="7">
        <f>B150*'Distributor Payments'!$V$21</f>
        <v>18021.945764410706</v>
      </c>
      <c r="Y150" s="7">
        <v>0</v>
      </c>
      <c r="Z150" s="7">
        <f t="shared" si="2"/>
        <v>1259209.6573054516</v>
      </c>
    </row>
    <row r="151" spans="1:26" customFormat="1" x14ac:dyDescent="0.35">
      <c r="A151" s="3" t="s">
        <v>179</v>
      </c>
      <c r="B151" s="6">
        <v>1.38586949984E-3</v>
      </c>
      <c r="C151" s="8" t="s">
        <v>179</v>
      </c>
      <c r="D151" s="33" t="s">
        <v>336</v>
      </c>
      <c r="E151" s="25">
        <v>9995.67</v>
      </c>
      <c r="F151" s="25">
        <v>10897.23</v>
      </c>
      <c r="G151" s="28">
        <v>10897.23</v>
      </c>
      <c r="H151" s="28">
        <v>23275.73</v>
      </c>
      <c r="I151" s="28">
        <v>10244.76</v>
      </c>
      <c r="J151" s="7">
        <f>$B151*'Distributor Payments'!H$21</f>
        <v>23275.730608550162</v>
      </c>
      <c r="K151" s="7">
        <f>$B151*'Distributor Payments'!I$21</f>
        <v>23275.730608326918</v>
      </c>
      <c r="L151" s="7">
        <f>$B151*'Distributor Payments'!J$21</f>
        <v>8868.0533613357511</v>
      </c>
      <c r="M151" s="7">
        <f>$B151*'Distributor Payments'!K$21</f>
        <v>27375.063504262398</v>
      </c>
      <c r="N151" s="7">
        <f>$B151*'Distributor Payments'!L$21</f>
        <v>27375.063504262398</v>
      </c>
      <c r="O151" s="7">
        <f>$B151*'Distributor Payments'!M$21</f>
        <v>27375.063504262398</v>
      </c>
      <c r="P151" s="7">
        <f>$B151*'Distributor Payments'!N$21</f>
        <v>23011.503604858619</v>
      </c>
      <c r="Q151" s="7">
        <f>$B151*'Distributor Payments'!O$21</f>
        <v>23011.503604858619</v>
      </c>
      <c r="R151" s="7">
        <f>$B151*'Distributor Payments'!P$21</f>
        <v>23011.503604858619</v>
      </c>
      <c r="S151" s="7">
        <f>$B151*'Distributor Payments'!Q$21</f>
        <v>23011.503604858619</v>
      </c>
      <c r="T151" s="7">
        <f>$B151*'Distributor Payments'!R$21</f>
        <v>23011.503604858619</v>
      </c>
      <c r="U151" s="7">
        <f>$B151*'Distributor Payments'!S$21</f>
        <v>23011.503604858619</v>
      </c>
      <c r="V151" s="7">
        <f>$B151*'Distributor Payments'!T$21</f>
        <v>23011.503604858619</v>
      </c>
      <c r="W151" s="7">
        <f>$B151*'Distributor Payments'!U$21</f>
        <v>23011.503604858619</v>
      </c>
      <c r="X151" s="7">
        <f>B151*'Distributor Payments'!$V$21</f>
        <v>5632.6421543928755</v>
      </c>
      <c r="Y151" s="7">
        <v>0</v>
      </c>
      <c r="Z151" s="7">
        <f t="shared" si="2"/>
        <v>392579.99608426203</v>
      </c>
    </row>
    <row r="152" spans="1:26" customFormat="1" x14ac:dyDescent="0.35">
      <c r="A152" s="3" t="s">
        <v>16</v>
      </c>
      <c r="B152" s="6">
        <v>8.8237929539200007E-3</v>
      </c>
      <c r="C152" s="8" t="s">
        <v>16</v>
      </c>
      <c r="D152" s="33" t="s">
        <v>336</v>
      </c>
      <c r="E152" s="25">
        <v>63642.15</v>
      </c>
      <c r="F152" s="25">
        <v>69382.36</v>
      </c>
      <c r="G152" s="28">
        <v>69382.36</v>
      </c>
      <c r="H152" s="28">
        <v>148195.94</v>
      </c>
      <c r="I152" s="28">
        <v>65228.08</v>
      </c>
      <c r="J152" s="7">
        <f>$B152*'Distributor Payments'!H$21</f>
        <v>148195.93602772581</v>
      </c>
      <c r="K152" s="7">
        <f>$B152*'Distributor Payments'!I$21</f>
        <v>148195.93602630444</v>
      </c>
      <c r="L152" s="7">
        <f>$B152*'Distributor Payments'!J$21</f>
        <v>56462.651623240861</v>
      </c>
      <c r="M152" s="7">
        <f>$B152*'Distributor Payments'!K$21</f>
        <v>174296.27572430918</v>
      </c>
      <c r="N152" s="7">
        <f>$B152*'Distributor Payments'!L$21</f>
        <v>174296.27572430918</v>
      </c>
      <c r="O152" s="7">
        <f>$B152*'Distributor Payments'!M$21</f>
        <v>174296.27572430918</v>
      </c>
      <c r="P152" s="7">
        <f>$B152*'Distributor Payments'!N$21</f>
        <v>146513.60996911928</v>
      </c>
      <c r="Q152" s="7">
        <f>$B152*'Distributor Payments'!O$21</f>
        <v>146513.60996911928</v>
      </c>
      <c r="R152" s="7">
        <f>$B152*'Distributor Payments'!P$21</f>
        <v>146513.60996911928</v>
      </c>
      <c r="S152" s="7">
        <f>$B152*'Distributor Payments'!Q$21</f>
        <v>146513.60996911928</v>
      </c>
      <c r="T152" s="7">
        <f>$B152*'Distributor Payments'!R$21</f>
        <v>146513.60996911928</v>
      </c>
      <c r="U152" s="7">
        <f>$B152*'Distributor Payments'!S$21</f>
        <v>146513.60996911928</v>
      </c>
      <c r="V152" s="7">
        <f>$B152*'Distributor Payments'!T$21</f>
        <v>146513.60996911928</v>
      </c>
      <c r="W152" s="7">
        <f>$B152*'Distributor Payments'!U$21</f>
        <v>146513.60996911928</v>
      </c>
      <c r="X152" s="7">
        <f>B152*'Distributor Payments'!$V$21</f>
        <v>35862.877536176886</v>
      </c>
      <c r="Y152" s="7">
        <v>0</v>
      </c>
      <c r="Z152" s="7">
        <f t="shared" si="2"/>
        <v>2499545.9981393293</v>
      </c>
    </row>
    <row r="153" spans="1:26" customFormat="1" x14ac:dyDescent="0.35">
      <c r="A153" s="3" t="s">
        <v>75</v>
      </c>
      <c r="B153" s="6">
        <v>6.2683460192308979E-5</v>
      </c>
      <c r="C153" s="8" t="s">
        <v>180</v>
      </c>
      <c r="D153" s="8" t="s">
        <v>337</v>
      </c>
      <c r="E153" s="25">
        <v>0</v>
      </c>
      <c r="F153" s="25">
        <v>0</v>
      </c>
      <c r="G153" s="25">
        <v>0</v>
      </c>
      <c r="H153" s="28"/>
      <c r="I153" s="30">
        <v>0</v>
      </c>
      <c r="J153" s="25">
        <v>0</v>
      </c>
      <c r="K153" s="25">
        <v>0</v>
      </c>
      <c r="L153" s="25">
        <v>0</v>
      </c>
      <c r="M153" s="25">
        <v>0</v>
      </c>
      <c r="N153" s="25">
        <v>0</v>
      </c>
      <c r="O153" s="25">
        <v>0</v>
      </c>
      <c r="P153" s="25">
        <v>0</v>
      </c>
      <c r="Q153" s="25">
        <v>0</v>
      </c>
      <c r="R153" s="25">
        <v>0</v>
      </c>
      <c r="S153" s="25">
        <v>0</v>
      </c>
      <c r="T153" s="25">
        <v>0</v>
      </c>
      <c r="U153" s="25">
        <v>0</v>
      </c>
      <c r="V153" s="25">
        <v>0</v>
      </c>
      <c r="W153" s="25">
        <v>0</v>
      </c>
      <c r="X153" s="25">
        <v>0</v>
      </c>
      <c r="Y153" s="7">
        <v>0</v>
      </c>
      <c r="Z153" s="7">
        <f t="shared" si="2"/>
        <v>0</v>
      </c>
    </row>
    <row r="154" spans="1:26" customFormat="1" x14ac:dyDescent="0.35">
      <c r="A154" s="3" t="s">
        <v>55</v>
      </c>
      <c r="B154" s="6">
        <v>5.0926305960276605E-5</v>
      </c>
      <c r="C154" s="8" t="s">
        <v>181</v>
      </c>
      <c r="D154" s="33" t="s">
        <v>336</v>
      </c>
      <c r="E154" s="25">
        <v>378.61</v>
      </c>
      <c r="F154" s="25">
        <v>412.76</v>
      </c>
      <c r="G154" s="28">
        <v>412.76</v>
      </c>
      <c r="H154" s="28">
        <v>855.31</v>
      </c>
      <c r="I154" s="28">
        <v>376.46</v>
      </c>
      <c r="J154" s="7">
        <f>$B154*'Distributor Payments'!H$21</f>
        <v>855.30923262027932</v>
      </c>
      <c r="K154" s="7">
        <f>$B154*'Distributor Payments'!I$21</f>
        <v>855.3092326120759</v>
      </c>
      <c r="L154" s="7">
        <f>$B154*'Distributor Payments'!J$21</f>
        <v>325.87281760914971</v>
      </c>
      <c r="M154" s="7">
        <f>$B154*'Distributor Payments'!K$21</f>
        <v>1005.946707003091</v>
      </c>
      <c r="N154" s="7">
        <f>$B154*'Distributor Payments'!L$21</f>
        <v>1005.946707003091</v>
      </c>
      <c r="O154" s="7">
        <f>$B154*'Distributor Payments'!M$21</f>
        <v>1005.946707003091</v>
      </c>
      <c r="P154" s="7">
        <f>$B154*'Distributor Payments'!N$21</f>
        <v>845.59972877845576</v>
      </c>
      <c r="Q154" s="7">
        <f>$B154*'Distributor Payments'!O$21</f>
        <v>845.59972877845576</v>
      </c>
      <c r="R154" s="7">
        <f>$B154*'Distributor Payments'!P$21</f>
        <v>845.59972877845576</v>
      </c>
      <c r="S154" s="7">
        <f>$B154*'Distributor Payments'!Q$21</f>
        <v>845.59972877845576</v>
      </c>
      <c r="T154" s="7">
        <f>$B154*'Distributor Payments'!R$21</f>
        <v>845.59972877845576</v>
      </c>
      <c r="U154" s="7">
        <f>$B154*'Distributor Payments'!S$21</f>
        <v>845.59972877845576</v>
      </c>
      <c r="V154" s="7">
        <f>$B154*'Distributor Payments'!T$21</f>
        <v>845.59972877845576</v>
      </c>
      <c r="W154" s="7">
        <f>$B154*'Distributor Payments'!U$21</f>
        <v>845.59972877845576</v>
      </c>
      <c r="X154" s="7">
        <f>B154*'Distributor Payments'!$V$21</f>
        <v>206.98172356955706</v>
      </c>
      <c r="Y154" s="7">
        <v>0</v>
      </c>
      <c r="Z154" s="7">
        <f t="shared" si="2"/>
        <v>14462.010957647983</v>
      </c>
    </row>
    <row r="155" spans="1:26" customFormat="1" x14ac:dyDescent="0.35">
      <c r="A155" s="3" t="s">
        <v>47</v>
      </c>
      <c r="B155" s="6">
        <v>9.9963664546176421E-5</v>
      </c>
      <c r="C155" s="8" t="s">
        <v>182</v>
      </c>
      <c r="D155" s="33" t="s">
        <v>336</v>
      </c>
      <c r="E155" s="25">
        <v>743.17</v>
      </c>
      <c r="F155" s="29">
        <v>810.2</v>
      </c>
      <c r="G155" s="28">
        <v>810.2</v>
      </c>
      <c r="H155" s="28">
        <v>1678.89</v>
      </c>
      <c r="I155" s="28">
        <v>738.96</v>
      </c>
      <c r="J155" s="7">
        <f>$B155*'Distributor Payments'!H$21</f>
        <v>1678.8935227226677</v>
      </c>
      <c r="K155" s="7">
        <f>$B155*'Distributor Payments'!I$21</f>
        <v>1678.8935227065651</v>
      </c>
      <c r="L155" s="7">
        <f>$B155*'Distributor Payments'!J$21</f>
        <v>639.65843211969423</v>
      </c>
      <c r="M155" s="7">
        <f>$B155*'Distributor Payments'!K$21</f>
        <v>1974.5810593178478</v>
      </c>
      <c r="N155" s="7">
        <f>$B155*'Distributor Payments'!L$21</f>
        <v>1974.5810593178478</v>
      </c>
      <c r="O155" s="7">
        <f>$B155*'Distributor Payments'!M$21</f>
        <v>1974.5810593178478</v>
      </c>
      <c r="P155" s="7">
        <f>$B155*'Distributor Payments'!N$21</f>
        <v>1659.8346578265775</v>
      </c>
      <c r="Q155" s="7">
        <f>$B155*'Distributor Payments'!O$21</f>
        <v>1659.8346578265775</v>
      </c>
      <c r="R155" s="7">
        <f>$B155*'Distributor Payments'!P$21</f>
        <v>1659.8346578265775</v>
      </c>
      <c r="S155" s="7">
        <f>$B155*'Distributor Payments'!Q$21</f>
        <v>1659.8346578265775</v>
      </c>
      <c r="T155" s="7">
        <f>$B155*'Distributor Payments'!R$21</f>
        <v>1659.8346578265775</v>
      </c>
      <c r="U155" s="7">
        <f>$B155*'Distributor Payments'!S$21</f>
        <v>1659.8346578265775</v>
      </c>
      <c r="V155" s="7">
        <f>$B155*'Distributor Payments'!T$21</f>
        <v>1659.8346578265775</v>
      </c>
      <c r="W155" s="7">
        <f>$B155*'Distributor Payments'!U$21</f>
        <v>1659.8346578265775</v>
      </c>
      <c r="X155" s="7">
        <f>B155*'Distributor Payments'!$V$21</f>
        <v>406.28612643209743</v>
      </c>
      <c r="Y155" s="7">
        <v>0</v>
      </c>
      <c r="Z155" s="7">
        <f t="shared" si="2"/>
        <v>28387.572044547189</v>
      </c>
    </row>
    <row r="156" spans="1:26" customFormat="1" x14ac:dyDescent="0.35">
      <c r="A156" s="3" t="s">
        <v>22</v>
      </c>
      <c r="B156" s="6">
        <v>8.8986446900904024E-4</v>
      </c>
      <c r="C156" s="8" t="s">
        <v>183</v>
      </c>
      <c r="D156" s="33" t="s">
        <v>336</v>
      </c>
      <c r="E156" s="25">
        <v>6615.61</v>
      </c>
      <c r="F156" s="25">
        <v>7212.31</v>
      </c>
      <c r="G156" s="28">
        <v>7212.31</v>
      </c>
      <c r="H156" s="28">
        <v>14945.31</v>
      </c>
      <c r="I156" s="28">
        <v>6578.14</v>
      </c>
      <c r="J156" s="7">
        <f>$B156*'Distributor Payments'!H$21</f>
        <v>14945.307376463805</v>
      </c>
      <c r="K156" s="7">
        <f>$B156*'Distributor Payments'!I$21</f>
        <v>14945.307376320461</v>
      </c>
      <c r="L156" s="7">
        <f>$B156*'Distributor Payments'!J$21</f>
        <v>5694.1621100976236</v>
      </c>
      <c r="M156" s="7">
        <f>$B156*'Distributor Payments'!K$21</f>
        <v>17577.482116549654</v>
      </c>
      <c r="N156" s="7">
        <f>$B156*'Distributor Payments'!L$21</f>
        <v>17577.482116549654</v>
      </c>
      <c r="O156" s="7">
        <f>$B156*'Distributor Payments'!M$21</f>
        <v>17577.482116549654</v>
      </c>
      <c r="P156" s="7">
        <f>$B156*'Distributor Payments'!N$21</f>
        <v>14775.647662930192</v>
      </c>
      <c r="Q156" s="7">
        <f>$B156*'Distributor Payments'!O$21</f>
        <v>14775.647662930192</v>
      </c>
      <c r="R156" s="7">
        <f>$B156*'Distributor Payments'!P$21</f>
        <v>14775.647662930192</v>
      </c>
      <c r="S156" s="7">
        <f>$B156*'Distributor Payments'!Q$21</f>
        <v>14775.647662930192</v>
      </c>
      <c r="T156" s="7">
        <f>$B156*'Distributor Payments'!R$21</f>
        <v>14775.647662930192</v>
      </c>
      <c r="U156" s="7">
        <f>$B156*'Distributor Payments'!S$21</f>
        <v>14775.647662930192</v>
      </c>
      <c r="V156" s="7">
        <f>$B156*'Distributor Payments'!T$21</f>
        <v>14775.647662930192</v>
      </c>
      <c r="W156" s="7">
        <f>$B156*'Distributor Payments'!U$21</f>
        <v>14775.647662930192</v>
      </c>
      <c r="X156" s="7">
        <f>B156*'Distributor Payments'!$V$21</f>
        <v>3616.7100296351327</v>
      </c>
      <c r="Y156" s="7">
        <v>0</v>
      </c>
      <c r="Z156" s="7">
        <f t="shared" si="2"/>
        <v>252702.79454560752</v>
      </c>
    </row>
    <row r="157" spans="1:26" customFormat="1" x14ac:dyDescent="0.35">
      <c r="A157" s="3" t="s">
        <v>60</v>
      </c>
      <c r="B157" s="6">
        <v>1.4441660502840001E-2</v>
      </c>
      <c r="C157" s="8" t="s">
        <v>60</v>
      </c>
      <c r="D157" s="33" t="s">
        <v>336</v>
      </c>
      <c r="E157" s="25">
        <v>104161.36</v>
      </c>
      <c r="F157" s="25">
        <v>113556.22</v>
      </c>
      <c r="G157" s="28">
        <v>113556.22</v>
      </c>
      <c r="H157" s="28">
        <v>242548.23</v>
      </c>
      <c r="I157" s="28">
        <v>106757.02</v>
      </c>
      <c r="J157" s="7">
        <f>$B157*'Distributor Payments'!H$21</f>
        <v>242548.2337572554</v>
      </c>
      <c r="K157" s="7">
        <f>$B157*'Distributor Payments'!I$21</f>
        <v>242548.23375492907</v>
      </c>
      <c r="L157" s="7">
        <f>$B157*'Distributor Payments'!J$21</f>
        <v>92410.877056076177</v>
      </c>
      <c r="M157" s="7">
        <f>$B157*'Distributor Payments'!K$21</f>
        <v>285265.945616009</v>
      </c>
      <c r="N157" s="7">
        <f>$B157*'Distributor Payments'!L$21</f>
        <v>285265.945616009</v>
      </c>
      <c r="O157" s="7">
        <f>$B157*'Distributor Payments'!M$21</f>
        <v>285265.945616009</v>
      </c>
      <c r="P157" s="7">
        <f>$B157*'Distributor Payments'!N$21</f>
        <v>239794.81672669339</v>
      </c>
      <c r="Q157" s="7">
        <f>$B157*'Distributor Payments'!O$21</f>
        <v>239794.81672669339</v>
      </c>
      <c r="R157" s="7">
        <f>$B157*'Distributor Payments'!P$21</f>
        <v>239794.81672669339</v>
      </c>
      <c r="S157" s="7">
        <f>$B157*'Distributor Payments'!Q$21</f>
        <v>239794.81672669339</v>
      </c>
      <c r="T157" s="7">
        <f>$B157*'Distributor Payments'!R$21</f>
        <v>239794.81672669339</v>
      </c>
      <c r="U157" s="7">
        <f>$B157*'Distributor Payments'!S$21</f>
        <v>239794.81672669339</v>
      </c>
      <c r="V157" s="7">
        <f>$B157*'Distributor Payments'!T$21</f>
        <v>239794.81672669339</v>
      </c>
      <c r="W157" s="7">
        <f>$B157*'Distributor Payments'!U$21</f>
        <v>239794.81672669339</v>
      </c>
      <c r="X157" s="7">
        <f>B157*'Distributor Payments'!$V$21</f>
        <v>58695.790431291352</v>
      </c>
      <c r="Y157" s="7">
        <v>0</v>
      </c>
      <c r="Z157" s="7">
        <f t="shared" si="2"/>
        <v>4090938.5556611265</v>
      </c>
    </row>
    <row r="158" spans="1:26" customFormat="1" x14ac:dyDescent="0.35">
      <c r="A158" s="3" t="s">
        <v>22</v>
      </c>
      <c r="B158" s="6">
        <v>4.4797409664000002E-3</v>
      </c>
      <c r="C158" s="8" t="s">
        <v>184</v>
      </c>
      <c r="D158" s="33" t="s">
        <v>336</v>
      </c>
      <c r="E158" s="25">
        <v>32310.41</v>
      </c>
      <c r="F158" s="25">
        <v>35224.65</v>
      </c>
      <c r="G158" s="28">
        <v>35224.65</v>
      </c>
      <c r="H158" s="28">
        <v>75237.42</v>
      </c>
      <c r="I158" s="28">
        <v>33115.57</v>
      </c>
      <c r="J158" s="7">
        <f>$B158*'Distributor Payments'!H$21</f>
        <v>75237.418777201281</v>
      </c>
      <c r="K158" s="7">
        <f>$B158*'Distributor Payments'!I$21</f>
        <v>75237.418776479666</v>
      </c>
      <c r="L158" s="7">
        <f>$B158*'Distributor Payments'!J$21</f>
        <v>28665.456552426807</v>
      </c>
      <c r="M158" s="7">
        <f>$B158*'Distributor Payments'!K$21</f>
        <v>88488.269243246876</v>
      </c>
      <c r="N158" s="7">
        <f>$B158*'Distributor Payments'!L$21</f>
        <v>88488.269243246876</v>
      </c>
      <c r="O158" s="7">
        <f>$B158*'Distributor Payments'!M$21</f>
        <v>88488.269243246876</v>
      </c>
      <c r="P158" s="7">
        <f>$B158*'Distributor Payments'!N$21</f>
        <v>74383.320658292694</v>
      </c>
      <c r="Q158" s="7">
        <f>$B158*'Distributor Payments'!O$21</f>
        <v>74383.320658292694</v>
      </c>
      <c r="R158" s="7">
        <f>$B158*'Distributor Payments'!P$21</f>
        <v>74383.320658292694</v>
      </c>
      <c r="S158" s="7">
        <f>$B158*'Distributor Payments'!Q$21</f>
        <v>74383.320658292694</v>
      </c>
      <c r="T158" s="7">
        <f>$B158*'Distributor Payments'!R$21</f>
        <v>74383.320658292694</v>
      </c>
      <c r="U158" s="7">
        <f>$B158*'Distributor Payments'!S$21</f>
        <v>74383.320658292694</v>
      </c>
      <c r="V158" s="7">
        <f>$B158*'Distributor Payments'!T$21</f>
        <v>74383.320658292694</v>
      </c>
      <c r="W158" s="7">
        <f>$B158*'Distributor Payments'!U$21</f>
        <v>74383.320658292694</v>
      </c>
      <c r="X158" s="7">
        <f>B158*'Distributor Payments'!$V$21</f>
        <v>18207.181708680702</v>
      </c>
      <c r="Y158" s="7">
        <v>0</v>
      </c>
      <c r="Z158" s="7">
        <f t="shared" si="2"/>
        <v>1268991.5488108706</v>
      </c>
    </row>
    <row r="159" spans="1:26" customFormat="1" x14ac:dyDescent="0.35">
      <c r="A159" s="3" t="s">
        <v>185</v>
      </c>
      <c r="B159" s="6">
        <v>7.1513735216000008E-4</v>
      </c>
      <c r="C159" s="8" t="s">
        <v>185</v>
      </c>
      <c r="D159" s="33" t="s">
        <v>336</v>
      </c>
      <c r="E159" s="25">
        <v>5157.97</v>
      </c>
      <c r="F159" s="25">
        <v>5623.2</v>
      </c>
      <c r="G159" s="28">
        <v>5623.2</v>
      </c>
      <c r="H159" s="28">
        <v>12010.76</v>
      </c>
      <c r="I159" s="28">
        <v>5286.51</v>
      </c>
      <c r="J159" s="7">
        <f>$B159*'Distributor Payments'!H$21</f>
        <v>12010.75884771961</v>
      </c>
      <c r="K159" s="7">
        <f>$B159*'Distributor Payments'!I$21</f>
        <v>12010.758847604411</v>
      </c>
      <c r="L159" s="7">
        <f>$B159*'Distributor Payments'!J$21</f>
        <v>4576.0991207118805</v>
      </c>
      <c r="M159" s="7">
        <f>$B159*'Distributor Payments'!K$21</f>
        <v>14126.099486214423</v>
      </c>
      <c r="N159" s="7">
        <f>$B159*'Distributor Payments'!L$21</f>
        <v>14126.099486214423</v>
      </c>
      <c r="O159" s="7">
        <f>$B159*'Distributor Payments'!M$21</f>
        <v>14126.099486214423</v>
      </c>
      <c r="P159" s="7">
        <f>$B159*'Distributor Payments'!N$21</f>
        <v>11874.412243792649</v>
      </c>
      <c r="Q159" s="7">
        <f>$B159*'Distributor Payments'!O$21</f>
        <v>11874.412243792649</v>
      </c>
      <c r="R159" s="7">
        <f>$B159*'Distributor Payments'!P$21</f>
        <v>11874.412243792649</v>
      </c>
      <c r="S159" s="7">
        <f>$B159*'Distributor Payments'!Q$21</f>
        <v>11874.412243792649</v>
      </c>
      <c r="T159" s="7">
        <f>$B159*'Distributor Payments'!R$21</f>
        <v>11874.412243792649</v>
      </c>
      <c r="U159" s="7">
        <f>$B159*'Distributor Payments'!S$21</f>
        <v>11874.412243792649</v>
      </c>
      <c r="V159" s="7">
        <f>$B159*'Distributor Payments'!T$21</f>
        <v>11874.412243792649</v>
      </c>
      <c r="W159" s="7">
        <f>$B159*'Distributor Payments'!U$21</f>
        <v>11874.412243792649</v>
      </c>
      <c r="X159" s="7">
        <f>B159*'Distributor Payments'!$V$21</f>
        <v>2906.5599585115115</v>
      </c>
      <c r="Y159" s="7">
        <v>0</v>
      </c>
      <c r="Z159" s="7">
        <f t="shared" si="2"/>
        <v>202579.41318353181</v>
      </c>
    </row>
    <row r="160" spans="1:26" customFormat="1" x14ac:dyDescent="0.35">
      <c r="A160" s="3" t="s">
        <v>34</v>
      </c>
      <c r="B160" s="6">
        <v>3.3765971733933234E-5</v>
      </c>
      <c r="C160" s="8" t="s">
        <v>186</v>
      </c>
      <c r="D160" s="33" t="s">
        <v>336</v>
      </c>
      <c r="E160" s="25">
        <v>251.03</v>
      </c>
      <c r="F160" s="25">
        <v>273.67</v>
      </c>
      <c r="G160" s="28">
        <v>273.67</v>
      </c>
      <c r="H160" s="28">
        <v>567.1</v>
      </c>
      <c r="I160" s="28">
        <v>249.61</v>
      </c>
      <c r="J160" s="7">
        <f>$B160*'Distributor Payments'!H$21</f>
        <v>567.10077096413875</v>
      </c>
      <c r="K160" s="7">
        <f>$B160*'Distributor Payments'!I$21</f>
        <v>567.10077095869951</v>
      </c>
      <c r="L160" s="7">
        <f>$B160*'Distributor Payments'!J$21</f>
        <v>216.065393724622</v>
      </c>
      <c r="M160" s="7">
        <f>$B160*'Distributor Payments'!K$21</f>
        <v>666.97883213842863</v>
      </c>
      <c r="N160" s="7">
        <f>$B160*'Distributor Payments'!L$21</f>
        <v>666.97883213842863</v>
      </c>
      <c r="O160" s="7">
        <f>$B160*'Distributor Payments'!M$21</f>
        <v>666.97883213842863</v>
      </c>
      <c r="P160" s="7">
        <f>$B160*'Distributor Payments'!N$21</f>
        <v>560.66302084479457</v>
      </c>
      <c r="Q160" s="7">
        <f>$B160*'Distributor Payments'!O$21</f>
        <v>560.66302084479457</v>
      </c>
      <c r="R160" s="7">
        <f>$B160*'Distributor Payments'!P$21</f>
        <v>560.66302084479457</v>
      </c>
      <c r="S160" s="7">
        <f>$B160*'Distributor Payments'!Q$21</f>
        <v>560.66302084479457</v>
      </c>
      <c r="T160" s="7">
        <f>$B160*'Distributor Payments'!R$21</f>
        <v>560.66302084479457</v>
      </c>
      <c r="U160" s="7">
        <f>$B160*'Distributor Payments'!S$21</f>
        <v>560.66302084479457</v>
      </c>
      <c r="V160" s="7">
        <f>$B160*'Distributor Payments'!T$21</f>
        <v>560.66302084479457</v>
      </c>
      <c r="W160" s="7">
        <f>$B160*'Distributor Payments'!U$21</f>
        <v>560.66302084479457</v>
      </c>
      <c r="X160" s="7">
        <f>B160*'Distributor Payments'!$V$21</f>
        <v>137.23632405110905</v>
      </c>
      <c r="Y160" s="7">
        <v>0</v>
      </c>
      <c r="Z160" s="7">
        <f t="shared" si="2"/>
        <v>9588.8239228722159</v>
      </c>
    </row>
    <row r="161" spans="1:26" customFormat="1" x14ac:dyDescent="0.35">
      <c r="A161" s="3" t="s">
        <v>187</v>
      </c>
      <c r="B161" s="6">
        <v>5.0941859009260573E-4</v>
      </c>
      <c r="C161" s="8" t="s">
        <v>187</v>
      </c>
      <c r="D161" s="33" t="s">
        <v>336</v>
      </c>
      <c r="E161" s="25">
        <v>3787.23</v>
      </c>
      <c r="F161" s="25">
        <v>4128.8100000000004</v>
      </c>
      <c r="G161" s="28">
        <v>4128.8100000000004</v>
      </c>
      <c r="H161" s="28">
        <v>8555.7000000000007</v>
      </c>
      <c r="I161" s="28">
        <v>3765.77</v>
      </c>
      <c r="J161" s="7">
        <f>$B161*'Distributor Payments'!H$21</f>
        <v>8555.7044666556594</v>
      </c>
      <c r="K161" s="7">
        <f>$B161*'Distributor Payments'!I$21</f>
        <v>8555.7044665735993</v>
      </c>
      <c r="L161" s="7">
        <f>$B161*'Distributor Payments'!J$21</f>
        <v>3259.7234016039802</v>
      </c>
      <c r="M161" s="7">
        <f>$B161*'Distributor Payments'!K$21</f>
        <v>10062.539261919614</v>
      </c>
      <c r="N161" s="7">
        <f>$B161*'Distributor Payments'!L$21</f>
        <v>10062.539261919614</v>
      </c>
      <c r="O161" s="7">
        <f>$B161*'Distributor Payments'!M$21</f>
        <v>10062.539261919614</v>
      </c>
      <c r="P161" s="7">
        <f>$B161*'Distributor Payments'!N$21</f>
        <v>8458.5797751168957</v>
      </c>
      <c r="Q161" s="7">
        <f>$B161*'Distributor Payments'!O$21</f>
        <v>8458.5797751168957</v>
      </c>
      <c r="R161" s="7">
        <f>$B161*'Distributor Payments'!P$21</f>
        <v>8458.5797751168957</v>
      </c>
      <c r="S161" s="7">
        <f>$B161*'Distributor Payments'!Q$21</f>
        <v>8458.5797751168957</v>
      </c>
      <c r="T161" s="7">
        <f>$B161*'Distributor Payments'!R$21</f>
        <v>8458.5797751168957</v>
      </c>
      <c r="U161" s="7">
        <f>$B161*'Distributor Payments'!S$21</f>
        <v>8458.5797751168957</v>
      </c>
      <c r="V161" s="7">
        <f>$B161*'Distributor Payments'!T$21</f>
        <v>8458.5797751168957</v>
      </c>
      <c r="W161" s="7">
        <f>$B161*'Distributor Payments'!U$21</f>
        <v>8458.5797751168957</v>
      </c>
      <c r="X161" s="7">
        <f>B161*'Distributor Payments'!$V$21</f>
        <v>2070.4493641849162</v>
      </c>
      <c r="Y161" s="7">
        <v>0</v>
      </c>
      <c r="Z161" s="7">
        <f t="shared" si="2"/>
        <v>144664.15768571221</v>
      </c>
    </row>
    <row r="162" spans="1:26" customFormat="1" x14ac:dyDescent="0.35">
      <c r="A162" s="3" t="s">
        <v>75</v>
      </c>
      <c r="B162" s="6">
        <v>8.960072678483999E-2</v>
      </c>
      <c r="C162" s="8" t="s">
        <v>75</v>
      </c>
      <c r="D162" s="33" t="s">
        <v>336</v>
      </c>
      <c r="E162" s="25">
        <v>646716.73</v>
      </c>
      <c r="F162" s="25">
        <v>705047.49</v>
      </c>
      <c r="G162" s="28">
        <v>705047.49664925144</v>
      </c>
      <c r="H162" s="28">
        <v>1505900.361078918</v>
      </c>
      <c r="I162" s="28">
        <v>662818.38463410479</v>
      </c>
      <c r="J162" s="7">
        <f>$B162*'Distributor Payments'!H$21</f>
        <v>1504847.5915048395</v>
      </c>
      <c r="K162" s="7">
        <f>$B162*'Distributor Payments'!I$21</f>
        <v>1504847.5914904061</v>
      </c>
      <c r="L162" s="7">
        <f>$B162*'Distributor Payments'!J$21</f>
        <v>573346.93232960394</v>
      </c>
      <c r="M162" s="7">
        <f>$B162*'Distributor Payments'!K$21</f>
        <v>1769882.0747886007</v>
      </c>
      <c r="N162" s="7">
        <f>$B162*'Distributor Payments'!L$21</f>
        <v>1769882.0747886007</v>
      </c>
      <c r="O162" s="7">
        <f>$B162*'Distributor Payments'!M$21</f>
        <v>1769882.0747886007</v>
      </c>
      <c r="P162" s="7">
        <f>$B162*'Distributor Payments'!N$21</f>
        <v>1487764.5028232024</v>
      </c>
      <c r="Q162" s="7">
        <f>$B162*'Distributor Payments'!O$21</f>
        <v>1487764.5028232024</v>
      </c>
      <c r="R162" s="7">
        <f>$B162*'Distributor Payments'!P$21</f>
        <v>1487764.5028232024</v>
      </c>
      <c r="S162" s="7">
        <f>$B162*'Distributor Payments'!Q$21</f>
        <v>1487764.5028232024</v>
      </c>
      <c r="T162" s="7">
        <f>$B162*'Distributor Payments'!R$21</f>
        <v>1487764.5028232024</v>
      </c>
      <c r="U162" s="7">
        <f>$B162*'Distributor Payments'!S$21</f>
        <v>1487764.5028232024</v>
      </c>
      <c r="V162" s="7">
        <f>$B162*'Distributor Payments'!T$21</f>
        <v>1487764.5028232024</v>
      </c>
      <c r="W162" s="7">
        <f>$B162*'Distributor Payments'!U$21</f>
        <v>1487764.5028232024</v>
      </c>
      <c r="X162" s="7">
        <f>B162*'Distributor Payments'!$V$21</f>
        <v>364167.64407528663</v>
      </c>
      <c r="Y162" s="7">
        <v>0</v>
      </c>
      <c r="Z162" s="7">
        <f t="shared" si="2"/>
        <v>25384502.468713835</v>
      </c>
    </row>
    <row r="163" spans="1:26" customFormat="1" x14ac:dyDescent="0.35">
      <c r="A163" s="3" t="s">
        <v>75</v>
      </c>
      <c r="B163" s="6">
        <v>6.0597412335066725E-4</v>
      </c>
      <c r="C163" s="8" t="s">
        <v>188</v>
      </c>
      <c r="D163" s="33" t="s">
        <v>336</v>
      </c>
      <c r="E163" s="25">
        <v>4505.0600000000004</v>
      </c>
      <c r="F163" s="25">
        <v>4911.3900000000003</v>
      </c>
      <c r="G163" s="28">
        <v>4911.3900000000003</v>
      </c>
      <c r="H163" s="28">
        <v>10177.36</v>
      </c>
      <c r="I163" s="28">
        <v>4479.54</v>
      </c>
      <c r="J163" s="7">
        <f>$B163*'Distributor Payments'!H$21</f>
        <v>10177.358295633792</v>
      </c>
      <c r="K163" s="7">
        <f>$B163*'Distributor Payments'!I$21</f>
        <v>10177.358295536178</v>
      </c>
      <c r="L163" s="7">
        <f>$B163*'Distributor Payments'!J$21</f>
        <v>3877.5735104082901</v>
      </c>
      <c r="M163" s="7">
        <f>$B163*'Distributor Payments'!K$21</f>
        <v>11969.799545036109</v>
      </c>
      <c r="N163" s="7">
        <f>$B163*'Distributor Payments'!L$21</f>
        <v>11969.799545036109</v>
      </c>
      <c r="O163" s="7">
        <f>$B163*'Distributor Payments'!M$21</f>
        <v>11969.799545036109</v>
      </c>
      <c r="P163" s="7">
        <f>$B163*'Distributor Payments'!N$21</f>
        <v>10061.824526439765</v>
      </c>
      <c r="Q163" s="7">
        <f>$B163*'Distributor Payments'!O$21</f>
        <v>10061.824526439765</v>
      </c>
      <c r="R163" s="7">
        <f>$B163*'Distributor Payments'!P$21</f>
        <v>10061.824526439765</v>
      </c>
      <c r="S163" s="7">
        <f>$B163*'Distributor Payments'!Q$21</f>
        <v>10061.824526439765</v>
      </c>
      <c r="T163" s="7">
        <f>$B163*'Distributor Payments'!R$21</f>
        <v>10061.824526439765</v>
      </c>
      <c r="U163" s="7">
        <f>$B163*'Distributor Payments'!S$21</f>
        <v>10061.824526439765</v>
      </c>
      <c r="V163" s="7">
        <f>$B163*'Distributor Payments'!T$21</f>
        <v>10061.824526439765</v>
      </c>
      <c r="W163" s="7">
        <f>$B163*'Distributor Payments'!U$21</f>
        <v>10061.824526439765</v>
      </c>
      <c r="X163" s="7">
        <f>B163*'Distributor Payments'!$V$21</f>
        <v>2462.8836929092517</v>
      </c>
      <c r="Y163" s="7">
        <v>0</v>
      </c>
      <c r="Z163" s="7">
        <f t="shared" si="2"/>
        <v>172083.90864111402</v>
      </c>
    </row>
    <row r="164" spans="1:26" customFormat="1" x14ac:dyDescent="0.35">
      <c r="A164" s="3" t="s">
        <v>34</v>
      </c>
      <c r="B164" s="6">
        <v>8.0830540949199136E-4</v>
      </c>
      <c r="C164" s="8" t="s">
        <v>189</v>
      </c>
      <c r="D164" s="33" t="s">
        <v>336</v>
      </c>
      <c r="E164" s="25">
        <v>6009.27</v>
      </c>
      <c r="F164" s="25">
        <v>6551.28</v>
      </c>
      <c r="G164" s="28">
        <v>6551.28</v>
      </c>
      <c r="H164" s="28">
        <v>13575.52</v>
      </c>
      <c r="I164" s="28">
        <v>5975.23</v>
      </c>
      <c r="J164" s="7">
        <f>$B164*'Distributor Payments'!H$21</f>
        <v>13575.519890539115</v>
      </c>
      <c r="K164" s="7">
        <f>$B164*'Distributor Payments'!I$21</f>
        <v>13575.51989040891</v>
      </c>
      <c r="L164" s="7">
        <f>$B164*'Distributor Payments'!J$21</f>
        <v>5172.2730779910289</v>
      </c>
      <c r="M164" s="7">
        <f>$B164*'Distributor Payments'!K$21</f>
        <v>15966.446998246744</v>
      </c>
      <c r="N164" s="7">
        <f>$B164*'Distributor Payments'!L$21</f>
        <v>15966.446998246744</v>
      </c>
      <c r="O164" s="7">
        <f>$B164*'Distributor Payments'!M$21</f>
        <v>15966.446998246744</v>
      </c>
      <c r="P164" s="7">
        <f>$B164*'Distributor Payments'!N$21</f>
        <v>13421.410058089241</v>
      </c>
      <c r="Q164" s="7">
        <f>$B164*'Distributor Payments'!O$21</f>
        <v>13421.410058089241</v>
      </c>
      <c r="R164" s="7">
        <f>$B164*'Distributor Payments'!P$21</f>
        <v>13421.410058089241</v>
      </c>
      <c r="S164" s="7">
        <f>$B164*'Distributor Payments'!Q$21</f>
        <v>13421.410058089241</v>
      </c>
      <c r="T164" s="7">
        <f>$B164*'Distributor Payments'!R$21</f>
        <v>13421.410058089241</v>
      </c>
      <c r="U164" s="7">
        <f>$B164*'Distributor Payments'!S$21</f>
        <v>13421.410058089241</v>
      </c>
      <c r="V164" s="7">
        <f>$B164*'Distributor Payments'!T$21</f>
        <v>13421.410058089241</v>
      </c>
      <c r="W164" s="7">
        <f>$B164*'Distributor Payments'!U$21</f>
        <v>13421.410058089241</v>
      </c>
      <c r="X164" s="7">
        <f>B164*'Distributor Payments'!$V$21</f>
        <v>3285.2264399021856</v>
      </c>
      <c r="Y164" s="7">
        <v>0</v>
      </c>
      <c r="Z164" s="7">
        <f t="shared" si="2"/>
        <v>229541.74075829537</v>
      </c>
    </row>
    <row r="165" spans="1:26" customFormat="1" x14ac:dyDescent="0.35">
      <c r="A165" s="3" t="s">
        <v>190</v>
      </c>
      <c r="B165" s="6">
        <v>3.4954682537600003E-3</v>
      </c>
      <c r="C165" s="8" t="s">
        <v>190</v>
      </c>
      <c r="D165" s="33" t="s">
        <v>336</v>
      </c>
      <c r="E165" s="25">
        <v>25211.279999999999</v>
      </c>
      <c r="F165" s="25">
        <v>27485.22</v>
      </c>
      <c r="G165" s="28">
        <v>27485.22</v>
      </c>
      <c r="H165" s="28">
        <v>58706.52</v>
      </c>
      <c r="I165" s="28">
        <v>25839.53</v>
      </c>
      <c r="J165" s="7">
        <f>$B165*'Distributor Payments'!H$21</f>
        <v>58706.521382172039</v>
      </c>
      <c r="K165" s="7">
        <f>$B165*'Distributor Payments'!I$21</f>
        <v>58706.521381608967</v>
      </c>
      <c r="L165" s="7">
        <f>$B165*'Distributor Payments'!J$21</f>
        <v>22367.184645291298</v>
      </c>
      <c r="M165" s="7">
        <f>$B165*'Distributor Payments'!K$21</f>
        <v>69045.942229669206</v>
      </c>
      <c r="N165" s="7">
        <f>$B165*'Distributor Payments'!L$21</f>
        <v>69045.942229669206</v>
      </c>
      <c r="O165" s="7">
        <f>$B165*'Distributor Payments'!M$21</f>
        <v>69045.942229669206</v>
      </c>
      <c r="P165" s="7">
        <f>$B165*'Distributor Payments'!N$21</f>
        <v>58040.082656666826</v>
      </c>
      <c r="Q165" s="7">
        <f>$B165*'Distributor Payments'!O$21</f>
        <v>58040.082656666826</v>
      </c>
      <c r="R165" s="7">
        <f>$B165*'Distributor Payments'!P$21</f>
        <v>58040.082656666826</v>
      </c>
      <c r="S165" s="7">
        <f>$B165*'Distributor Payments'!Q$21</f>
        <v>58040.082656666826</v>
      </c>
      <c r="T165" s="7">
        <f>$B165*'Distributor Payments'!R$21</f>
        <v>58040.082656666826</v>
      </c>
      <c r="U165" s="7">
        <f>$B165*'Distributor Payments'!S$21</f>
        <v>58040.082656666826</v>
      </c>
      <c r="V165" s="7">
        <f>$B165*'Distributor Payments'!T$21</f>
        <v>58040.082656666826</v>
      </c>
      <c r="W165" s="7">
        <f>$B165*'Distributor Payments'!U$21</f>
        <v>58040.082656666826</v>
      </c>
      <c r="X165" s="7">
        <f>B165*'Distributor Payments'!$V$21</f>
        <v>14206.764661278507</v>
      </c>
      <c r="Y165" s="7">
        <v>0</v>
      </c>
      <c r="Z165" s="7">
        <f t="shared" si="2"/>
        <v>990173.25001269323</v>
      </c>
    </row>
    <row r="166" spans="1:26" customFormat="1" x14ac:dyDescent="0.35">
      <c r="A166" s="3" t="s">
        <v>60</v>
      </c>
      <c r="B166" s="6">
        <v>1.1137710597871301E-6</v>
      </c>
      <c r="C166" s="8" t="s">
        <v>191</v>
      </c>
      <c r="D166" s="33" t="s">
        <v>338</v>
      </c>
      <c r="E166" s="25">
        <v>298.48</v>
      </c>
      <c r="F166" s="48">
        <v>9.0299999999999994</v>
      </c>
      <c r="G166" s="49">
        <v>9.0299999999999994</v>
      </c>
      <c r="H166" s="28">
        <v>0</v>
      </c>
      <c r="I166" s="28">
        <v>0</v>
      </c>
      <c r="J166" s="49">
        <f>$B$166*'Distributor Payments'!H$21</f>
        <v>18.70582702786777</v>
      </c>
      <c r="K166" s="49">
        <f>$B$166*'Distributor Payments'!I$21</f>
        <v>18.705827027688358</v>
      </c>
      <c r="L166" s="49">
        <f>$B$166*'Distributor Payments'!J$21</f>
        <v>7.1269200971982203</v>
      </c>
      <c r="M166" s="49">
        <f>$B$166*'Distributor Payments'!K$21</f>
        <v>22.000306301857691</v>
      </c>
      <c r="N166" s="49">
        <f>$B$166*'Distributor Payments'!L$21</f>
        <v>22.000306301857691</v>
      </c>
      <c r="O166" s="49">
        <f>$B$166*'Distributor Payments'!M$21</f>
        <v>22.000306301857691</v>
      </c>
      <c r="P166" s="49">
        <f>$B$166*'Distributor Payments'!N$21</f>
        <v>18.493477748256751</v>
      </c>
      <c r="Q166" s="49">
        <f>$B$166*'Distributor Payments'!O$21</f>
        <v>18.493477748256751</v>
      </c>
      <c r="R166" s="49">
        <f>$B$166*'Distributor Payments'!P$21</f>
        <v>18.493477748256751</v>
      </c>
      <c r="S166" s="49">
        <f>$B$166*'Distributor Payments'!Q$21</f>
        <v>18.493477748256751</v>
      </c>
      <c r="T166" s="49">
        <f>$B$166*'Distributor Payments'!R$21</f>
        <v>18.493477748256751</v>
      </c>
      <c r="U166" s="49">
        <f>$B$166*'Distributor Payments'!S$21</f>
        <v>18.493477748256751</v>
      </c>
      <c r="V166" s="49">
        <f>$B$166*'Distributor Payments'!T$21</f>
        <v>18.493477748256751</v>
      </c>
      <c r="W166" s="49">
        <f>$B$166*'Distributor Payments'!U$21</f>
        <v>18.493477748256751</v>
      </c>
      <c r="X166" s="49">
        <f>$B$166*'Distributor Payments'!V$21</f>
        <v>4.5267421084193682</v>
      </c>
      <c r="Y166" s="7">
        <v>0</v>
      </c>
      <c r="Z166" s="7">
        <f>E166</f>
        <v>298.48</v>
      </c>
    </row>
    <row r="167" spans="1:26" customFormat="1" x14ac:dyDescent="0.35">
      <c r="A167" s="3" t="s">
        <v>192</v>
      </c>
      <c r="B167" s="6">
        <v>1.755734653739611E-4</v>
      </c>
      <c r="C167" s="8" t="s">
        <v>193</v>
      </c>
      <c r="D167" s="33" t="s">
        <v>336</v>
      </c>
      <c r="E167" s="25">
        <v>1305.28</v>
      </c>
      <c r="F167" s="25">
        <v>1423.02</v>
      </c>
      <c r="G167" s="28">
        <v>1423.02</v>
      </c>
      <c r="H167" s="28">
        <v>2948.76</v>
      </c>
      <c r="I167" s="28">
        <v>1297.8900000000001</v>
      </c>
      <c r="J167" s="7">
        <f>$B167*'Distributor Payments'!H$21</f>
        <v>2948.7629841956477</v>
      </c>
      <c r="K167" s="7">
        <f>$B167*'Distributor Payments'!I$21</f>
        <v>2948.7629841673656</v>
      </c>
      <c r="L167" s="7">
        <f>$B167*'Distributor Payments'!J$21</f>
        <v>1123.4786969124282</v>
      </c>
      <c r="M167" s="7">
        <f>$B167*'Distributor Payments'!K$21</f>
        <v>3468.1005425334033</v>
      </c>
      <c r="N167" s="7">
        <f>$B167*'Distributor Payments'!L$21</f>
        <v>3468.1005425334033</v>
      </c>
      <c r="O167" s="7">
        <f>$B167*'Distributor Payments'!M$21</f>
        <v>3468.1005425334033</v>
      </c>
      <c r="P167" s="7">
        <f>$B167*'Distributor Payments'!N$21</f>
        <v>2915.2885115350846</v>
      </c>
      <c r="Q167" s="7">
        <f>$B167*'Distributor Payments'!O$21</f>
        <v>2915.2885115350846</v>
      </c>
      <c r="R167" s="7">
        <f>$B167*'Distributor Payments'!P$21</f>
        <v>2915.2885115350846</v>
      </c>
      <c r="S167" s="7">
        <f>$B167*'Distributor Payments'!Q$21</f>
        <v>2915.2885115350846</v>
      </c>
      <c r="T167" s="7">
        <f>$B167*'Distributor Payments'!R$21</f>
        <v>2915.2885115350846</v>
      </c>
      <c r="U167" s="7">
        <f>$B167*'Distributor Payments'!S$21</f>
        <v>2915.2885115350846</v>
      </c>
      <c r="V167" s="7">
        <f>$B167*'Distributor Payments'!T$21</f>
        <v>2915.2885115350846</v>
      </c>
      <c r="W167" s="7">
        <f>$B167*'Distributor Payments'!U$21</f>
        <v>2915.2885115350846</v>
      </c>
      <c r="X167" s="7">
        <f>B167*'Distributor Payments'!$V$21</f>
        <v>713.58991764548227</v>
      </c>
      <c r="Y167" s="7">
        <v>0</v>
      </c>
      <c r="Z167" s="7">
        <f t="shared" si="2"/>
        <v>49859.174302801825</v>
      </c>
    </row>
    <row r="168" spans="1:26" customFormat="1" x14ac:dyDescent="0.35">
      <c r="A168" s="3" t="s">
        <v>192</v>
      </c>
      <c r="B168" s="6">
        <v>6.0352741926400005E-3</v>
      </c>
      <c r="C168" s="8" t="s">
        <v>192</v>
      </c>
      <c r="D168" s="33" t="s">
        <v>336</v>
      </c>
      <c r="E168" s="25">
        <v>43529.78</v>
      </c>
      <c r="F168" s="25">
        <v>47455.96</v>
      </c>
      <c r="G168" s="28">
        <v>47455.96</v>
      </c>
      <c r="H168" s="28">
        <v>101362.66</v>
      </c>
      <c r="I168" s="28">
        <v>44614.53</v>
      </c>
      <c r="J168" s="7">
        <f>$B168*'Distributor Payments'!H$21</f>
        <v>101362.65808060698</v>
      </c>
      <c r="K168" s="7">
        <f>$B168*'Distributor Payments'!I$21</f>
        <v>101362.65807963478</v>
      </c>
      <c r="L168" s="7">
        <f>$B168*'Distributor Payments'!J$21</f>
        <v>38619.172726438628</v>
      </c>
      <c r="M168" s="7">
        <f>$B168*'Distributor Payments'!K$21</f>
        <v>119214.69828741475</v>
      </c>
      <c r="N168" s="7">
        <f>$B168*'Distributor Payments'!L$21</f>
        <v>119214.69828741475</v>
      </c>
      <c r="O168" s="7">
        <f>$B168*'Distributor Payments'!M$21</f>
        <v>119214.69828741475</v>
      </c>
      <c r="P168" s="7">
        <f>$B168*'Distributor Payments'!N$21</f>
        <v>100211.98522391863</v>
      </c>
      <c r="Q168" s="7">
        <f>$B168*'Distributor Payments'!O$21</f>
        <v>100211.98522391863</v>
      </c>
      <c r="R168" s="7">
        <f>$B168*'Distributor Payments'!P$21</f>
        <v>100211.98522391863</v>
      </c>
      <c r="S168" s="7">
        <f>$B168*'Distributor Payments'!Q$21</f>
        <v>100211.98522391863</v>
      </c>
      <c r="T168" s="7">
        <f>$B168*'Distributor Payments'!R$21</f>
        <v>100211.98522391863</v>
      </c>
      <c r="U168" s="7">
        <f>$B168*'Distributor Payments'!S$21</f>
        <v>100211.98522391863</v>
      </c>
      <c r="V168" s="7">
        <f>$B168*'Distributor Payments'!T$21</f>
        <v>100211.98522391863</v>
      </c>
      <c r="W168" s="7">
        <f>$B168*'Distributor Payments'!U$21</f>
        <v>100211.98522391863</v>
      </c>
      <c r="X168" s="7">
        <f>B168*'Distributor Payments'!$V$21</f>
        <v>24529.394603682525</v>
      </c>
      <c r="Y168" s="7">
        <v>0</v>
      </c>
      <c r="Z168" s="7">
        <f t="shared" si="2"/>
        <v>1709632.7501439564</v>
      </c>
    </row>
    <row r="169" spans="1:26" customFormat="1" x14ac:dyDescent="0.35">
      <c r="A169" s="3" t="s">
        <v>194</v>
      </c>
      <c r="B169" s="6">
        <v>2.7857703115200002E-3</v>
      </c>
      <c r="C169" s="8" t="s">
        <v>194</v>
      </c>
      <c r="D169" s="33" t="s">
        <v>336</v>
      </c>
      <c r="E169" s="25">
        <v>20092.54</v>
      </c>
      <c r="F169" s="25">
        <v>21904.79</v>
      </c>
      <c r="G169" s="28">
        <v>21904.79</v>
      </c>
      <c r="H169" s="28">
        <v>46787.12</v>
      </c>
      <c r="I169" s="28">
        <v>20593.240000000002</v>
      </c>
      <c r="J169" s="7">
        <f>$B169*'Distributor Payments'!H$21</f>
        <v>46787.117629562039</v>
      </c>
      <c r="K169" s="7">
        <f>$B169*'Distributor Payments'!I$21</f>
        <v>46787.117629113294</v>
      </c>
      <c r="L169" s="7">
        <f>$B169*'Distributor Payments'!J$21</f>
        <v>17825.891815814131</v>
      </c>
      <c r="M169" s="7">
        <f>$B169*'Distributor Payments'!K$21</f>
        <v>55027.287341956231</v>
      </c>
      <c r="N169" s="7">
        <f>$B169*'Distributor Payments'!L$21</f>
        <v>55027.287341956231</v>
      </c>
      <c r="O169" s="7">
        <f>$B169*'Distributor Payments'!M$21</f>
        <v>55027.287341956231</v>
      </c>
      <c r="P169" s="7">
        <f>$B169*'Distributor Payments'!N$21</f>
        <v>46255.988441373134</v>
      </c>
      <c r="Q169" s="7">
        <f>$B169*'Distributor Payments'!O$21</f>
        <v>46255.988441373134</v>
      </c>
      <c r="R169" s="7">
        <f>$B169*'Distributor Payments'!P$21</f>
        <v>46255.988441373134</v>
      </c>
      <c r="S169" s="7">
        <f>$B169*'Distributor Payments'!Q$21</f>
        <v>46255.988441373134</v>
      </c>
      <c r="T169" s="7">
        <f>$B169*'Distributor Payments'!R$21</f>
        <v>46255.988441373134</v>
      </c>
      <c r="U169" s="7">
        <f>$B169*'Distributor Payments'!S$21</f>
        <v>46255.988441373134</v>
      </c>
      <c r="V169" s="7">
        <f>$B169*'Distributor Payments'!T$21</f>
        <v>46255.988441373134</v>
      </c>
      <c r="W169" s="7">
        <f>$B169*'Distributor Payments'!U$21</f>
        <v>46255.988441373134</v>
      </c>
      <c r="X169" s="7">
        <f>B169*'Distributor Payments'!$V$21</f>
        <v>11322.312303528794</v>
      </c>
      <c r="Y169" s="7">
        <v>0</v>
      </c>
      <c r="Z169" s="7">
        <f t="shared" si="2"/>
        <v>789134.68893487181</v>
      </c>
    </row>
    <row r="170" spans="1:26" customFormat="1" x14ac:dyDescent="0.35">
      <c r="A170" s="3" t="s">
        <v>52</v>
      </c>
      <c r="B170" s="6">
        <v>1.8602402996713994E-3</v>
      </c>
      <c r="C170" s="8" t="s">
        <v>52</v>
      </c>
      <c r="D170" s="33" t="s">
        <v>336</v>
      </c>
      <c r="E170" s="25">
        <v>13829.78</v>
      </c>
      <c r="F170" s="25">
        <v>15077.16</v>
      </c>
      <c r="G170" s="28">
        <v>15077.16</v>
      </c>
      <c r="H170" s="28">
        <v>31242.81</v>
      </c>
      <c r="I170" s="28">
        <v>13751.45</v>
      </c>
      <c r="J170" s="7">
        <f>$B170*'Distributor Payments'!H$21</f>
        <v>31242.806113648483</v>
      </c>
      <c r="K170" s="7">
        <f>$B170*'Distributor Payments'!I$21</f>
        <v>31242.806113348826</v>
      </c>
      <c r="L170" s="7">
        <f>$B170*'Distributor Payments'!J$21</f>
        <v>11903.509128599584</v>
      </c>
      <c r="M170" s="7">
        <f>$B170*'Distributor Payments'!K$21</f>
        <v>36745.304188144641</v>
      </c>
      <c r="N170" s="7">
        <f>$B170*'Distributor Payments'!L$21</f>
        <v>36745.304188144641</v>
      </c>
      <c r="O170" s="7">
        <f>$B170*'Distributor Payments'!M$21</f>
        <v>36745.304188144641</v>
      </c>
      <c r="P170" s="7">
        <f>$B170*'Distributor Payments'!N$21</f>
        <v>30888.136557398651</v>
      </c>
      <c r="Q170" s="7">
        <f>$B170*'Distributor Payments'!O$21</f>
        <v>30888.136557398651</v>
      </c>
      <c r="R170" s="7">
        <f>$B170*'Distributor Payments'!P$21</f>
        <v>30888.136557398651</v>
      </c>
      <c r="S170" s="7">
        <f>$B170*'Distributor Payments'!Q$21</f>
        <v>30888.136557398651</v>
      </c>
      <c r="T170" s="7">
        <f>$B170*'Distributor Payments'!R$21</f>
        <v>30888.136557398651</v>
      </c>
      <c r="U170" s="7">
        <f>$B170*'Distributor Payments'!S$21</f>
        <v>30888.136557398651</v>
      </c>
      <c r="V170" s="7">
        <f>$B170*'Distributor Payments'!T$21</f>
        <v>30888.136557398651</v>
      </c>
      <c r="W170" s="7">
        <f>$B170*'Distributor Payments'!U$21</f>
        <v>30888.136557398651</v>
      </c>
      <c r="X170" s="7">
        <f>B170*'Distributor Payments'!$V$21</f>
        <v>7560.6454507002745</v>
      </c>
      <c r="Y170" s="7">
        <v>0</v>
      </c>
      <c r="Z170" s="7">
        <f t="shared" si="2"/>
        <v>528269.13182992034</v>
      </c>
    </row>
    <row r="171" spans="1:26" customFormat="1" x14ac:dyDescent="0.35">
      <c r="A171" s="3" t="s">
        <v>22</v>
      </c>
      <c r="B171" s="6">
        <v>2.9107497428383031E-4</v>
      </c>
      <c r="C171" s="8" t="s">
        <v>195</v>
      </c>
      <c r="D171" s="33" t="s">
        <v>336</v>
      </c>
      <c r="E171" s="25">
        <v>2163.9699999999998</v>
      </c>
      <c r="F171" s="25">
        <v>2359.15</v>
      </c>
      <c r="G171" s="28">
        <v>2359.15</v>
      </c>
      <c r="H171" s="28">
        <v>4888.62</v>
      </c>
      <c r="I171" s="28">
        <v>2151.71</v>
      </c>
      <c r="J171" s="7">
        <f>$B171*'Distributor Payments'!H$21</f>
        <v>4888.615190032885</v>
      </c>
      <c r="K171" s="7">
        <f>$B171*'Distributor Payments'!I$21</f>
        <v>4888.6151899859969</v>
      </c>
      <c r="L171" s="7">
        <f>$B171*'Distributor Payments'!J$21</f>
        <v>1862.5623872929225</v>
      </c>
      <c r="M171" s="7">
        <f>$B171*'Distributor Payments'!K$21</f>
        <v>5749.6004540408276</v>
      </c>
      <c r="N171" s="7">
        <f>$B171*'Distributor Payments'!L$21</f>
        <v>5749.6004540408276</v>
      </c>
      <c r="O171" s="7">
        <f>$B171*'Distributor Payments'!M$21</f>
        <v>5749.6004540408276</v>
      </c>
      <c r="P171" s="7">
        <f>$B171*'Distributor Payments'!N$21</f>
        <v>4833.1194393049209</v>
      </c>
      <c r="Q171" s="7">
        <f>$B171*'Distributor Payments'!O$21</f>
        <v>4833.1194393049209</v>
      </c>
      <c r="R171" s="7">
        <f>$B171*'Distributor Payments'!P$21</f>
        <v>4833.1194393049209</v>
      </c>
      <c r="S171" s="7">
        <f>$B171*'Distributor Payments'!Q$21</f>
        <v>4833.1194393049209</v>
      </c>
      <c r="T171" s="7">
        <f>$B171*'Distributor Payments'!R$21</f>
        <v>4833.1194393049209</v>
      </c>
      <c r="U171" s="7">
        <f>$B171*'Distributor Payments'!S$21</f>
        <v>4833.1194393049209</v>
      </c>
      <c r="V171" s="7">
        <f>$B171*'Distributor Payments'!T$21</f>
        <v>4833.1194393049209</v>
      </c>
      <c r="W171" s="7">
        <f>$B171*'Distributor Payments'!U$21</f>
        <v>4833.1194393049209</v>
      </c>
      <c r="X171" s="7">
        <f>B171*'Distributor Payments'!$V$21</f>
        <v>1183.0270962952927</v>
      </c>
      <c r="Y171" s="7">
        <v>0</v>
      </c>
      <c r="Z171" s="7">
        <f t="shared" si="2"/>
        <v>82659.176740168958</v>
      </c>
    </row>
    <row r="172" spans="1:26" customFormat="1" x14ac:dyDescent="0.35">
      <c r="A172" s="3" t="s">
        <v>196</v>
      </c>
      <c r="B172" s="6">
        <v>8.8503458614749527E-4</v>
      </c>
      <c r="C172" s="8" t="s">
        <v>196</v>
      </c>
      <c r="D172" s="33" t="s">
        <v>336</v>
      </c>
      <c r="E172" s="25">
        <v>6579.71</v>
      </c>
      <c r="F172" s="25">
        <v>7173.17</v>
      </c>
      <c r="G172" s="28">
        <v>7173.17</v>
      </c>
      <c r="H172" s="28">
        <v>14864.19</v>
      </c>
      <c r="I172" s="28">
        <v>6542.44</v>
      </c>
      <c r="J172" s="7">
        <f>$B172*'Distributor Payments'!H$21</f>
        <v>14864.189311329133</v>
      </c>
      <c r="K172" s="7">
        <f>$B172*'Distributor Payments'!I$21</f>
        <v>14864.189311186568</v>
      </c>
      <c r="L172" s="7">
        <f>$B172*'Distributor Payments'!J$21</f>
        <v>5663.2561272831326</v>
      </c>
      <c r="M172" s="7">
        <f>$B172*'Distributor Payments'!K$21</f>
        <v>17482.077498677478</v>
      </c>
      <c r="N172" s="7">
        <f>$B172*'Distributor Payments'!L$21</f>
        <v>17482.077498677478</v>
      </c>
      <c r="O172" s="7">
        <f>$B172*'Distributor Payments'!M$21</f>
        <v>17482.077498677478</v>
      </c>
      <c r="P172" s="7">
        <f>$B172*'Distributor Payments'!N$21</f>
        <v>14695.450453241749</v>
      </c>
      <c r="Q172" s="7">
        <f>$B172*'Distributor Payments'!O$21</f>
        <v>14695.450453241749</v>
      </c>
      <c r="R172" s="7">
        <f>$B172*'Distributor Payments'!P$21</f>
        <v>14695.450453241749</v>
      </c>
      <c r="S172" s="7">
        <f>$B172*'Distributor Payments'!Q$21</f>
        <v>14695.450453241749</v>
      </c>
      <c r="T172" s="7">
        <f>$B172*'Distributor Payments'!R$21</f>
        <v>14695.450453241749</v>
      </c>
      <c r="U172" s="7">
        <f>$B172*'Distributor Payments'!S$21</f>
        <v>14695.450453241749</v>
      </c>
      <c r="V172" s="7">
        <f>$B172*'Distributor Payments'!T$21</f>
        <v>14695.450453241749</v>
      </c>
      <c r="W172" s="7">
        <f>$B172*'Distributor Payments'!U$21</f>
        <v>14695.450453241749</v>
      </c>
      <c r="X172" s="7">
        <f>B172*'Distributor Payments'!$V$21</f>
        <v>3597.0797528956136</v>
      </c>
      <c r="Y172" s="7">
        <v>0</v>
      </c>
      <c r="Z172" s="7">
        <f t="shared" si="2"/>
        <v>251331.23062466094</v>
      </c>
    </row>
    <row r="173" spans="1:26" customFormat="1" x14ac:dyDescent="0.35">
      <c r="A173" s="3" t="s">
        <v>90</v>
      </c>
      <c r="B173" s="6">
        <v>3.9655533903852218E-4</v>
      </c>
      <c r="C173" s="8" t="s">
        <v>197</v>
      </c>
      <c r="D173" s="33" t="s">
        <v>336</v>
      </c>
      <c r="E173" s="25">
        <v>2948.15</v>
      </c>
      <c r="F173" s="29">
        <v>3214.06</v>
      </c>
      <c r="G173" s="28">
        <v>3214.06</v>
      </c>
      <c r="H173" s="28">
        <v>6660.16</v>
      </c>
      <c r="I173" s="28">
        <v>2931.45</v>
      </c>
      <c r="J173" s="7">
        <f>$B173*'Distributor Payments'!H$21</f>
        <v>6660.1619011808425</v>
      </c>
      <c r="K173" s="7">
        <f>$B173*'Distributor Payments'!I$21</f>
        <v>6660.1619011169632</v>
      </c>
      <c r="L173" s="7">
        <f>$B173*'Distributor Payments'!J$21</f>
        <v>2537.5216842005748</v>
      </c>
      <c r="M173" s="7">
        <f>$B173*'Distributor Payments'!K$21</f>
        <v>7833.1528259963543</v>
      </c>
      <c r="N173" s="7">
        <f>$B173*'Distributor Payments'!L$21</f>
        <v>7833.1528259963543</v>
      </c>
      <c r="O173" s="7">
        <f>$B173*'Distributor Payments'!M$21</f>
        <v>7833.1528259963543</v>
      </c>
      <c r="P173" s="7">
        <f>$B173*'Distributor Payments'!N$21</f>
        <v>6584.5554829400708</v>
      </c>
      <c r="Q173" s="7">
        <f>$B173*'Distributor Payments'!O$21</f>
        <v>6584.5554829400708</v>
      </c>
      <c r="R173" s="7">
        <f>$B173*'Distributor Payments'!P$21</f>
        <v>6584.5554829400708</v>
      </c>
      <c r="S173" s="7">
        <f>$B173*'Distributor Payments'!Q$21</f>
        <v>6584.5554829400708</v>
      </c>
      <c r="T173" s="7">
        <f>$B173*'Distributor Payments'!R$21</f>
        <v>6584.5554829400708</v>
      </c>
      <c r="U173" s="7">
        <f>$B173*'Distributor Payments'!S$21</f>
        <v>6584.5554829400708</v>
      </c>
      <c r="V173" s="7">
        <f>$B173*'Distributor Payments'!T$21</f>
        <v>6584.5554829400708</v>
      </c>
      <c r="W173" s="7">
        <f>$B173*'Distributor Payments'!U$21</f>
        <v>6584.5554829400708</v>
      </c>
      <c r="X173" s="7">
        <f>B173*'Distributor Payments'!$V$21</f>
        <v>1611.7349573504696</v>
      </c>
      <c r="Y173" s="7">
        <v>0</v>
      </c>
      <c r="Z173" s="7">
        <f t="shared" si="2"/>
        <v>112613.36278535845</v>
      </c>
    </row>
    <row r="174" spans="1:26" customFormat="1" x14ac:dyDescent="0.35">
      <c r="A174" s="3" t="s">
        <v>198</v>
      </c>
      <c r="B174" s="6">
        <v>1.6931761809363479E-3</v>
      </c>
      <c r="C174" s="8" t="s">
        <v>199</v>
      </c>
      <c r="D174" s="33" t="s">
        <v>336</v>
      </c>
      <c r="E174" s="25">
        <v>12587.76</v>
      </c>
      <c r="F174" s="25">
        <v>13723.12</v>
      </c>
      <c r="G174" s="28">
        <v>13723.12</v>
      </c>
      <c r="H174" s="28">
        <v>28436.959999999999</v>
      </c>
      <c r="I174" s="28">
        <v>12516.46</v>
      </c>
      <c r="J174" s="7">
        <f>$B174*'Distributor Payments'!H$21</f>
        <v>28436.957927740048</v>
      </c>
      <c r="K174" s="7">
        <f>$B174*'Distributor Payments'!I$21</f>
        <v>28436.957927467301</v>
      </c>
      <c r="L174" s="7">
        <f>$B174*'Distributor Payments'!J$21</f>
        <v>10834.480969831378</v>
      </c>
      <c r="M174" s="7">
        <f>$B174*'Distributor Payments'!K$21</f>
        <v>33445.288667070206</v>
      </c>
      <c r="N174" s="7">
        <f>$B174*'Distributor Payments'!L$21</f>
        <v>33445.288667070206</v>
      </c>
      <c r="O174" s="7">
        <f>$B174*'Distributor Payments'!M$21</f>
        <v>33445.288667070206</v>
      </c>
      <c r="P174" s="7">
        <f>$B174*'Distributor Payments'!N$21</f>
        <v>28114.140469774236</v>
      </c>
      <c r="Q174" s="7">
        <f>$B174*'Distributor Payments'!O$21</f>
        <v>28114.140469774236</v>
      </c>
      <c r="R174" s="7">
        <f>$B174*'Distributor Payments'!P$21</f>
        <v>28114.140469774236</v>
      </c>
      <c r="S174" s="7">
        <f>$B174*'Distributor Payments'!Q$21</f>
        <v>28114.140469774236</v>
      </c>
      <c r="T174" s="7">
        <f>$B174*'Distributor Payments'!R$21</f>
        <v>28114.140469774236</v>
      </c>
      <c r="U174" s="7">
        <f>$B174*'Distributor Payments'!S$21</f>
        <v>28114.140469774236</v>
      </c>
      <c r="V174" s="7">
        <f>$B174*'Distributor Payments'!T$21</f>
        <v>28114.140469774236</v>
      </c>
      <c r="W174" s="7">
        <f>$B174*'Distributor Payments'!U$21</f>
        <v>28114.140469774236</v>
      </c>
      <c r="X174" s="7">
        <f>B174*'Distributor Payments'!$V$21</f>
        <v>6881.6403944650456</v>
      </c>
      <c r="Y174" s="7">
        <v>0</v>
      </c>
      <c r="Z174" s="7">
        <f t="shared" si="2"/>
        <v>480826.44697890844</v>
      </c>
    </row>
    <row r="175" spans="1:26" customFormat="1" x14ac:dyDescent="0.35">
      <c r="A175" s="3" t="s">
        <v>200</v>
      </c>
      <c r="B175" s="6">
        <v>3.0158900913527429E-3</v>
      </c>
      <c r="C175" s="8" t="s">
        <v>200</v>
      </c>
      <c r="D175" s="33" t="s">
        <v>336</v>
      </c>
      <c r="E175" s="25">
        <v>22421.360000000001</v>
      </c>
      <c r="F175" s="25">
        <v>24443.65</v>
      </c>
      <c r="G175" s="28">
        <v>24443.65</v>
      </c>
      <c r="H175" s="28">
        <v>50651.99</v>
      </c>
      <c r="I175" s="28">
        <v>22294.35</v>
      </c>
      <c r="J175" s="7">
        <f>$B175*'Distributor Payments'!H$21</f>
        <v>50651.988025875813</v>
      </c>
      <c r="K175" s="7">
        <f>$B175*'Distributor Payments'!I$21</f>
        <v>50651.988025389997</v>
      </c>
      <c r="L175" s="7">
        <f>$B175*'Distributor Payments'!J$21</f>
        <v>19298.407436723028</v>
      </c>
      <c r="M175" s="7">
        <f>$B175*'Distributor Payments'!K$21</f>
        <v>59572.840575673763</v>
      </c>
      <c r="N175" s="7">
        <f>$B175*'Distributor Payments'!L$21</f>
        <v>59572.840575673763</v>
      </c>
      <c r="O175" s="7">
        <f>$B175*'Distributor Payments'!M$21</f>
        <v>59572.840575673763</v>
      </c>
      <c r="P175" s="7">
        <f>$B175*'Distributor Payments'!N$21</f>
        <v>50076.98467787433</v>
      </c>
      <c r="Q175" s="7">
        <f>$B175*'Distributor Payments'!O$21</f>
        <v>50076.98467787433</v>
      </c>
      <c r="R175" s="7">
        <f>$B175*'Distributor Payments'!P$21</f>
        <v>50076.98467787433</v>
      </c>
      <c r="S175" s="7">
        <f>$B175*'Distributor Payments'!Q$21</f>
        <v>50076.98467787433</v>
      </c>
      <c r="T175" s="7">
        <f>$B175*'Distributor Payments'!R$21</f>
        <v>50076.98467787433</v>
      </c>
      <c r="U175" s="7">
        <f>$B175*'Distributor Payments'!S$21</f>
        <v>50076.98467787433</v>
      </c>
      <c r="V175" s="7">
        <f>$B175*'Distributor Payments'!T$21</f>
        <v>50076.98467787433</v>
      </c>
      <c r="W175" s="7">
        <f>$B175*'Distributor Payments'!U$21</f>
        <v>50076.98467787433</v>
      </c>
      <c r="X175" s="7">
        <f>B175*'Distributor Payments'!$V$21</f>
        <v>12257.596883061829</v>
      </c>
      <c r="Y175" s="7">
        <v>0</v>
      </c>
      <c r="Z175" s="7">
        <f t="shared" si="2"/>
        <v>856449.37952106667</v>
      </c>
    </row>
    <row r="176" spans="1:26" customFormat="1" x14ac:dyDescent="0.35">
      <c r="A176" s="3" t="s">
        <v>34</v>
      </c>
      <c r="B176" s="6">
        <v>3.5999720152443767E-5</v>
      </c>
      <c r="C176" s="8" t="s">
        <v>201</v>
      </c>
      <c r="D176" s="33" t="s">
        <v>336</v>
      </c>
      <c r="E176" s="25">
        <v>267.64</v>
      </c>
      <c r="F176" s="29">
        <v>291.77999999999997</v>
      </c>
      <c r="G176" s="28">
        <v>291.77999999999997</v>
      </c>
      <c r="H176" s="28">
        <v>604.62</v>
      </c>
      <c r="I176" s="28">
        <v>266.12</v>
      </c>
      <c r="J176" s="7">
        <f>$B176*'Distributor Payments'!H$21</f>
        <v>604.61666004498557</v>
      </c>
      <c r="K176" s="7">
        <f>$B176*'Distributor Payments'!I$21</f>
        <v>604.61666003918663</v>
      </c>
      <c r="L176" s="7">
        <f>$B176*'Distributor Payments'!J$21</f>
        <v>230.35894746358352</v>
      </c>
      <c r="M176" s="7">
        <f>$B176*'Distributor Payments'!K$21</f>
        <v>711.10203769012833</v>
      </c>
      <c r="N176" s="7">
        <f>$B176*'Distributor Payments'!L$21</f>
        <v>711.10203769012833</v>
      </c>
      <c r="O176" s="7">
        <f>$B176*'Distributor Payments'!M$21</f>
        <v>711.10203769012833</v>
      </c>
      <c r="P176" s="7">
        <f>$B176*'Distributor Payments'!N$21</f>
        <v>597.7530280863399</v>
      </c>
      <c r="Q176" s="7">
        <f>$B176*'Distributor Payments'!O$21</f>
        <v>597.7530280863399</v>
      </c>
      <c r="R176" s="7">
        <f>$B176*'Distributor Payments'!P$21</f>
        <v>597.7530280863399</v>
      </c>
      <c r="S176" s="7">
        <f>$B176*'Distributor Payments'!Q$21</f>
        <v>597.7530280863399</v>
      </c>
      <c r="T176" s="7">
        <f>$B176*'Distributor Payments'!R$21</f>
        <v>597.7530280863399</v>
      </c>
      <c r="U176" s="7">
        <f>$B176*'Distributor Payments'!S$21</f>
        <v>597.7530280863399</v>
      </c>
      <c r="V176" s="7">
        <f>$B176*'Distributor Payments'!T$21</f>
        <v>597.7530280863399</v>
      </c>
      <c r="W176" s="7">
        <f>$B176*'Distributor Payments'!U$21</f>
        <v>597.7530280863399</v>
      </c>
      <c r="X176" s="7">
        <f>B176*'Distributor Payments'!$V$21</f>
        <v>146.3150327649262</v>
      </c>
      <c r="Y176" s="7">
        <v>0</v>
      </c>
      <c r="Z176" s="7">
        <f t="shared" si="2"/>
        <v>10223.177638073785</v>
      </c>
    </row>
    <row r="177" spans="1:26" customFormat="1" x14ac:dyDescent="0.35">
      <c r="A177" s="3" t="s">
        <v>202</v>
      </c>
      <c r="B177" s="6">
        <v>5.6166162893828348E-4</v>
      </c>
      <c r="C177" s="8" t="s">
        <v>202</v>
      </c>
      <c r="D177" s="33" t="s">
        <v>336</v>
      </c>
      <c r="E177" s="25">
        <v>4175.62</v>
      </c>
      <c r="F177" s="25">
        <v>4552.24</v>
      </c>
      <c r="G177" s="28">
        <v>4552.24</v>
      </c>
      <c r="H177" s="28">
        <v>9433.1299999999992</v>
      </c>
      <c r="I177" s="28">
        <v>4151.97</v>
      </c>
      <c r="J177" s="7">
        <f>$B177*'Distributor Payments'!H$21</f>
        <v>9433.1282778329769</v>
      </c>
      <c r="K177" s="7">
        <f>$B177*'Distributor Payments'!I$21</f>
        <v>9433.1282777425022</v>
      </c>
      <c r="L177" s="7">
        <f>$B177*'Distributor Payments'!J$21</f>
        <v>3594.021873642866</v>
      </c>
      <c r="M177" s="7">
        <f>$B177*'Distributor Payments'!K$21</f>
        <v>11094.495377716366</v>
      </c>
      <c r="N177" s="7">
        <f>$B177*'Distributor Payments'!L$21</f>
        <v>11094.495377716366</v>
      </c>
      <c r="O177" s="7">
        <f>$B177*'Distributor Payments'!M$21</f>
        <v>11094.495377716366</v>
      </c>
      <c r="P177" s="7">
        <f>$B177*'Distributor Payments'!N$21</f>
        <v>9326.043036892177</v>
      </c>
      <c r="Q177" s="7">
        <f>$B177*'Distributor Payments'!O$21</f>
        <v>9326.043036892177</v>
      </c>
      <c r="R177" s="7">
        <f>$B177*'Distributor Payments'!P$21</f>
        <v>9326.043036892177</v>
      </c>
      <c r="S177" s="7">
        <f>$B177*'Distributor Payments'!Q$21</f>
        <v>9326.043036892177</v>
      </c>
      <c r="T177" s="7">
        <f>$B177*'Distributor Payments'!R$21</f>
        <v>9326.043036892177</v>
      </c>
      <c r="U177" s="7">
        <f>$B177*'Distributor Payments'!S$21</f>
        <v>9326.043036892177</v>
      </c>
      <c r="V177" s="7">
        <f>$B177*'Distributor Payments'!T$21</f>
        <v>9326.043036892177</v>
      </c>
      <c r="W177" s="7">
        <f>$B177*'Distributor Payments'!U$21</f>
        <v>9326.043036892177</v>
      </c>
      <c r="X177" s="7">
        <f>B177*'Distributor Payments'!$V$21</f>
        <v>2282.7827353354628</v>
      </c>
      <c r="Y177" s="7">
        <v>0</v>
      </c>
      <c r="Z177" s="7">
        <f t="shared" si="2"/>
        <v>159500.0915928403</v>
      </c>
    </row>
    <row r="178" spans="1:26" customFormat="1" x14ac:dyDescent="0.35">
      <c r="A178" s="3" t="s">
        <v>36</v>
      </c>
      <c r="B178" s="6">
        <v>2.474159525737849E-5</v>
      </c>
      <c r="C178" s="8" t="s">
        <v>203</v>
      </c>
      <c r="D178" s="8" t="s">
        <v>337</v>
      </c>
      <c r="E178" s="25">
        <v>0</v>
      </c>
      <c r="F178" s="25">
        <v>0</v>
      </c>
      <c r="G178" s="25">
        <v>0</v>
      </c>
      <c r="H178" s="28"/>
      <c r="I178" s="30">
        <v>0</v>
      </c>
      <c r="J178" s="25">
        <v>0</v>
      </c>
      <c r="K178" s="25">
        <v>0</v>
      </c>
      <c r="L178" s="25">
        <v>0</v>
      </c>
      <c r="M178" s="25">
        <v>0</v>
      </c>
      <c r="N178" s="25">
        <v>0</v>
      </c>
      <c r="O178" s="25">
        <v>0</v>
      </c>
      <c r="P178" s="25">
        <v>0</v>
      </c>
      <c r="Q178" s="25">
        <v>0</v>
      </c>
      <c r="R178" s="25">
        <v>0</v>
      </c>
      <c r="S178" s="25">
        <v>0</v>
      </c>
      <c r="T178" s="25">
        <v>0</v>
      </c>
      <c r="U178" s="25">
        <v>0</v>
      </c>
      <c r="V178" s="25">
        <v>0</v>
      </c>
      <c r="W178" s="25">
        <v>0</v>
      </c>
      <c r="X178" s="25">
        <v>0</v>
      </c>
      <c r="Y178" s="7">
        <v>0</v>
      </c>
      <c r="Z178" s="7">
        <f t="shared" si="2"/>
        <v>0</v>
      </c>
    </row>
    <row r="179" spans="1:26" customFormat="1" x14ac:dyDescent="0.35">
      <c r="A179" s="3" t="s">
        <v>45</v>
      </c>
      <c r="B179" s="6">
        <v>6.7058526245695587E-5</v>
      </c>
      <c r="C179" s="8" t="s">
        <v>204</v>
      </c>
      <c r="D179" s="33" t="s">
        <v>336</v>
      </c>
      <c r="E179" s="25">
        <v>498.54</v>
      </c>
      <c r="F179" s="29">
        <v>543.51</v>
      </c>
      <c r="G179" s="28">
        <v>543.51</v>
      </c>
      <c r="H179" s="28">
        <v>1126.25</v>
      </c>
      <c r="I179" s="28">
        <v>495.72</v>
      </c>
      <c r="J179" s="7">
        <f>$B179*'Distributor Payments'!H$21</f>
        <v>1126.2504817960141</v>
      </c>
      <c r="K179" s="7">
        <f>$B179*'Distributor Payments'!I$21</f>
        <v>1126.2504817852121</v>
      </c>
      <c r="L179" s="7">
        <f>$B179*'Distributor Payments'!J$21</f>
        <v>429.10143353902993</v>
      </c>
      <c r="M179" s="7">
        <f>$B179*'Distributor Payments'!K$21</f>
        <v>1324.6062596009945</v>
      </c>
      <c r="N179" s="7">
        <f>$B179*'Distributor Payments'!L$21</f>
        <v>1324.6062596009945</v>
      </c>
      <c r="O179" s="7">
        <f>$B179*'Distributor Payments'!M$21</f>
        <v>1324.6062596009945</v>
      </c>
      <c r="P179" s="7">
        <f>$B179*'Distributor Payments'!N$21</f>
        <v>1113.4652423027455</v>
      </c>
      <c r="Q179" s="7">
        <f>$B179*'Distributor Payments'!O$21</f>
        <v>1113.4652423027455</v>
      </c>
      <c r="R179" s="7">
        <f>$B179*'Distributor Payments'!P$21</f>
        <v>1113.4652423027455</v>
      </c>
      <c r="S179" s="7">
        <f>$B179*'Distributor Payments'!Q$21</f>
        <v>1113.4652423027455</v>
      </c>
      <c r="T179" s="7">
        <f>$B179*'Distributor Payments'!R$21</f>
        <v>1113.4652423027455</v>
      </c>
      <c r="U179" s="7">
        <f>$B179*'Distributor Payments'!S$21</f>
        <v>1113.4652423027455</v>
      </c>
      <c r="V179" s="7">
        <f>$B179*'Distributor Payments'!T$21</f>
        <v>1113.4652423027455</v>
      </c>
      <c r="W179" s="7">
        <f>$B179*'Distributor Payments'!U$21</f>
        <v>1113.4652423027455</v>
      </c>
      <c r="X179" s="7">
        <f>B179*'Distributor Payments'!$V$21</f>
        <v>272.54852046788949</v>
      </c>
      <c r="Y179" s="7">
        <v>0</v>
      </c>
      <c r="Z179" s="7">
        <f t="shared" si="2"/>
        <v>19043.221634813086</v>
      </c>
    </row>
    <row r="180" spans="1:26" customFormat="1" x14ac:dyDescent="0.35">
      <c r="A180" s="3" t="s">
        <v>45</v>
      </c>
      <c r="B180" s="6">
        <v>1.1772633736289928E-3</v>
      </c>
      <c r="C180" s="8" t="s">
        <v>205</v>
      </c>
      <c r="D180" s="33" t="s">
        <v>336</v>
      </c>
      <c r="E180" s="25">
        <v>8752.26</v>
      </c>
      <c r="F180" s="25">
        <v>9541.67</v>
      </c>
      <c r="G180" s="28">
        <v>9541.67</v>
      </c>
      <c r="H180" s="28">
        <v>19772.18</v>
      </c>
      <c r="I180" s="28">
        <v>8702.68</v>
      </c>
      <c r="J180" s="7">
        <f>$B180*'Distributor Payments'!H$21</f>
        <v>19772.18283760839</v>
      </c>
      <c r="K180" s="7">
        <f>$B180*'Distributor Payments'!I$21</f>
        <v>19772.18283741875</v>
      </c>
      <c r="L180" s="7">
        <f>$B180*'Distributor Payments'!J$21</f>
        <v>7533.2016606854886</v>
      </c>
      <c r="M180" s="7">
        <f>$B180*'Distributor Payments'!K$21</f>
        <v>23254.469210886436</v>
      </c>
      <c r="N180" s="7">
        <f>$B180*'Distributor Payments'!L$21</f>
        <v>23254.469210886436</v>
      </c>
      <c r="O180" s="7">
        <f>$B180*'Distributor Payments'!M$21</f>
        <v>23254.469210886436</v>
      </c>
      <c r="P180" s="7">
        <f>$B180*'Distributor Payments'!N$21</f>
        <v>19547.728245162496</v>
      </c>
      <c r="Q180" s="7">
        <f>$B180*'Distributor Payments'!O$21</f>
        <v>19547.728245162496</v>
      </c>
      <c r="R180" s="7">
        <f>$B180*'Distributor Payments'!P$21</f>
        <v>19547.728245162496</v>
      </c>
      <c r="S180" s="7">
        <f>$B180*'Distributor Payments'!Q$21</f>
        <v>19547.728245162496</v>
      </c>
      <c r="T180" s="7">
        <f>$B180*'Distributor Payments'!R$21</f>
        <v>19547.728245162496</v>
      </c>
      <c r="U180" s="7">
        <f>$B180*'Distributor Payments'!S$21</f>
        <v>19547.728245162496</v>
      </c>
      <c r="V180" s="7">
        <f>$B180*'Distributor Payments'!T$21</f>
        <v>19547.728245162496</v>
      </c>
      <c r="W180" s="7">
        <f>$B180*'Distributor Payments'!U$21</f>
        <v>19547.728245162496</v>
      </c>
      <c r="X180" s="7">
        <f>B180*'Distributor Payments'!$V$21</f>
        <v>4784.796336084316</v>
      </c>
      <c r="Y180" s="7">
        <v>0</v>
      </c>
      <c r="Z180" s="7">
        <f t="shared" si="2"/>
        <v>334318.0572657563</v>
      </c>
    </row>
    <row r="181" spans="1:26" customFormat="1" x14ac:dyDescent="0.35">
      <c r="A181" s="3" t="s">
        <v>45</v>
      </c>
      <c r="B181" s="6">
        <v>1.7767050856320001E-2</v>
      </c>
      <c r="C181" s="8" t="s">
        <v>45</v>
      </c>
      <c r="D181" s="33" t="s">
        <v>336</v>
      </c>
      <c r="E181" s="25">
        <v>128145.94</v>
      </c>
      <c r="F181" s="25">
        <v>139704.09</v>
      </c>
      <c r="G181" s="28">
        <v>139704.09</v>
      </c>
      <c r="H181" s="28">
        <v>298398.28999999998</v>
      </c>
      <c r="I181" s="28">
        <v>131339.28</v>
      </c>
      <c r="J181" s="7">
        <f>$B181*'Distributor Payments'!H$21</f>
        <v>298398.29037860961</v>
      </c>
      <c r="K181" s="7">
        <f>$B181*'Distributor Payments'!I$21</f>
        <v>298398.2903757476</v>
      </c>
      <c r="L181" s="7">
        <f>$B181*'Distributor Payments'!J$21</f>
        <v>113689.74862755994</v>
      </c>
      <c r="M181" s="7">
        <f>$B181*'Distributor Payments'!K$21</f>
        <v>350952.34113411978</v>
      </c>
      <c r="N181" s="7">
        <f>$B181*'Distributor Payments'!L$21</f>
        <v>350952.34113411978</v>
      </c>
      <c r="O181" s="7">
        <f>$B181*'Distributor Payments'!M$21</f>
        <v>350952.34113411978</v>
      </c>
      <c r="P181" s="7">
        <f>$B181*'Distributor Payments'!N$21</f>
        <v>295010.86132216337</v>
      </c>
      <c r="Q181" s="7">
        <f>$B181*'Distributor Payments'!O$21</f>
        <v>295010.86132216337</v>
      </c>
      <c r="R181" s="7">
        <f>$B181*'Distributor Payments'!P$21</f>
        <v>295010.86132216337</v>
      </c>
      <c r="S181" s="7">
        <f>$B181*'Distributor Payments'!Q$21</f>
        <v>295010.86132216337</v>
      </c>
      <c r="T181" s="7">
        <f>$B181*'Distributor Payments'!R$21</f>
        <v>295010.86132216337</v>
      </c>
      <c r="U181" s="7">
        <f>$B181*'Distributor Payments'!S$21</f>
        <v>295010.86132216337</v>
      </c>
      <c r="V181" s="7">
        <f>$B181*'Distributor Payments'!T$21</f>
        <v>295010.86132216337</v>
      </c>
      <c r="W181" s="7">
        <f>$B181*'Distributor Payments'!U$21</f>
        <v>295010.86132216337</v>
      </c>
      <c r="X181" s="7">
        <f>B181*'Distributor Payments'!$V$21</f>
        <v>72211.301009296963</v>
      </c>
      <c r="Y181" s="7">
        <v>0</v>
      </c>
      <c r="Z181" s="7">
        <f t="shared" si="2"/>
        <v>5032933.2343708826</v>
      </c>
    </row>
    <row r="182" spans="1:26" customFormat="1" x14ac:dyDescent="0.35">
      <c r="A182" s="3" t="s">
        <v>206</v>
      </c>
      <c r="B182" s="6">
        <v>6.9578341280000008E-3</v>
      </c>
      <c r="C182" s="8" t="s">
        <v>206</v>
      </c>
      <c r="D182" s="33" t="s">
        <v>336</v>
      </c>
      <c r="E182" s="25">
        <v>50183.8</v>
      </c>
      <c r="F182" s="25">
        <v>54710.14</v>
      </c>
      <c r="G182" s="28">
        <v>54710.14</v>
      </c>
      <c r="H182" s="28">
        <v>116857.09</v>
      </c>
      <c r="I182" s="28">
        <v>51434.36</v>
      </c>
      <c r="J182" s="7">
        <f>$B182*'Distributor Payments'!H$21</f>
        <v>116857.08704968375</v>
      </c>
      <c r="K182" s="7">
        <f>$B182*'Distributor Payments'!I$21</f>
        <v>116857.08704856294</v>
      </c>
      <c r="L182" s="7">
        <f>$B182*'Distributor Payments'!J$21</f>
        <v>44522.550163309475</v>
      </c>
      <c r="M182" s="7">
        <f>$B182*'Distributor Payments'!K$21</f>
        <v>137438.01355619292</v>
      </c>
      <c r="N182" s="7">
        <f>$B182*'Distributor Payments'!L$21</f>
        <v>137438.01355619292</v>
      </c>
      <c r="O182" s="7">
        <f>$B182*'Distributor Payments'!M$21</f>
        <v>137438.01355619292</v>
      </c>
      <c r="P182" s="7">
        <f>$B182*'Distributor Payments'!N$21</f>
        <v>115530.52082967786</v>
      </c>
      <c r="Q182" s="7">
        <f>$B182*'Distributor Payments'!O$21</f>
        <v>115530.52082967786</v>
      </c>
      <c r="R182" s="7">
        <f>$B182*'Distributor Payments'!P$21</f>
        <v>115530.52082967786</v>
      </c>
      <c r="S182" s="7">
        <f>$B182*'Distributor Payments'!Q$21</f>
        <v>115530.52082967786</v>
      </c>
      <c r="T182" s="7">
        <f>$B182*'Distributor Payments'!R$21</f>
        <v>115530.52082967786</v>
      </c>
      <c r="U182" s="7">
        <f>$B182*'Distributor Payments'!S$21</f>
        <v>115530.52082967786</v>
      </c>
      <c r="V182" s="7">
        <f>$B182*'Distributor Payments'!T$21</f>
        <v>115530.52082967786</v>
      </c>
      <c r="W182" s="7">
        <f>$B182*'Distributor Payments'!U$21</f>
        <v>115530.52082967786</v>
      </c>
      <c r="X182" s="7">
        <f>B182*'Distributor Payments'!$V$21</f>
        <v>28278.990061597317</v>
      </c>
      <c r="Y182" s="7">
        <v>0</v>
      </c>
      <c r="Z182" s="7">
        <f t="shared" si="2"/>
        <v>1970969.4516291548</v>
      </c>
    </row>
    <row r="183" spans="1:26" customFormat="1" x14ac:dyDescent="0.35">
      <c r="A183" s="3" t="s">
        <v>207</v>
      </c>
      <c r="B183" s="6">
        <v>9.8584816064000011E-4</v>
      </c>
      <c r="C183" s="8" t="s">
        <v>207</v>
      </c>
      <c r="D183" s="33" t="s">
        <v>336</v>
      </c>
      <c r="E183" s="25">
        <v>7110.49</v>
      </c>
      <c r="F183" s="25">
        <v>7751.82</v>
      </c>
      <c r="G183" s="28">
        <v>7751.82</v>
      </c>
      <c r="H183" s="28">
        <v>16557.36</v>
      </c>
      <c r="I183" s="28">
        <v>7287.68</v>
      </c>
      <c r="J183" s="7">
        <f>$B183*'Distributor Payments'!H$21</f>
        <v>16557.357103710347</v>
      </c>
      <c r="K183" s="7">
        <f>$B183*'Distributor Payments'!I$21</f>
        <v>16557.357103551542</v>
      </c>
      <c r="L183" s="7">
        <f>$B183*'Distributor Payments'!J$21</f>
        <v>6308.3530561424122</v>
      </c>
      <c r="M183" s="7">
        <f>$B183*'Distributor Payments'!K$21</f>
        <v>19473.446818907574</v>
      </c>
      <c r="N183" s="7">
        <f>$B183*'Distributor Payments'!L$21</f>
        <v>19473.446818907574</v>
      </c>
      <c r="O183" s="7">
        <f>$B183*'Distributor Payments'!M$21</f>
        <v>19473.446818907574</v>
      </c>
      <c r="P183" s="7">
        <f>$B183*'Distributor Payments'!N$21</f>
        <v>16369.397338659741</v>
      </c>
      <c r="Q183" s="7">
        <f>$B183*'Distributor Payments'!O$21</f>
        <v>16369.397338659741</v>
      </c>
      <c r="R183" s="7">
        <f>$B183*'Distributor Payments'!P$21</f>
        <v>16369.397338659741</v>
      </c>
      <c r="S183" s="7">
        <f>$B183*'Distributor Payments'!Q$21</f>
        <v>16369.397338659741</v>
      </c>
      <c r="T183" s="7">
        <f>$B183*'Distributor Payments'!R$21</f>
        <v>16369.397338659741</v>
      </c>
      <c r="U183" s="7">
        <f>$B183*'Distributor Payments'!S$21</f>
        <v>16369.397338659741</v>
      </c>
      <c r="V183" s="7">
        <f>$B183*'Distributor Payments'!T$21</f>
        <v>16369.397338659741</v>
      </c>
      <c r="W183" s="7">
        <f>$B183*'Distributor Payments'!U$21</f>
        <v>16369.397338659741</v>
      </c>
      <c r="X183" s="7">
        <f>B183*'Distributor Payments'!$V$21</f>
        <v>4006.8202006701463</v>
      </c>
      <c r="Y183" s="7">
        <v>0</v>
      </c>
      <c r="Z183" s="7">
        <f t="shared" si="2"/>
        <v>279264.57663007505</v>
      </c>
    </row>
    <row r="184" spans="1:26" customFormat="1" x14ac:dyDescent="0.35">
      <c r="A184" s="3" t="s">
        <v>75</v>
      </c>
      <c r="B184" s="6">
        <v>2.8172487492943241E-4</v>
      </c>
      <c r="C184" s="8" t="s">
        <v>208</v>
      </c>
      <c r="D184" s="33" t="s">
        <v>336</v>
      </c>
      <c r="E184" s="25">
        <v>2094.46</v>
      </c>
      <c r="F184" s="25">
        <v>2283.37</v>
      </c>
      <c r="G184" s="28">
        <v>2283.37</v>
      </c>
      <c r="H184" s="28">
        <v>4731.58</v>
      </c>
      <c r="I184" s="28">
        <v>2082.59</v>
      </c>
      <c r="J184" s="7">
        <f>$B184*'Distributor Payments'!H$21</f>
        <v>4731.5799181250541</v>
      </c>
      <c r="K184" s="7">
        <f>$B184*'Distributor Payments'!I$21</f>
        <v>4731.5799180796721</v>
      </c>
      <c r="L184" s="7">
        <f>$B184*'Distributor Payments'!J$21</f>
        <v>1802.7319486995596</v>
      </c>
      <c r="M184" s="7">
        <f>$B184*'Distributor Payments'!K$21</f>
        <v>5564.9080543398777</v>
      </c>
      <c r="N184" s="7">
        <f>$B184*'Distributor Payments'!L$21</f>
        <v>5564.9080543398777</v>
      </c>
      <c r="O184" s="7">
        <f>$B184*'Distributor Payments'!M$21</f>
        <v>5564.9080543398777</v>
      </c>
      <c r="P184" s="7">
        <f>$B184*'Distributor Payments'!N$21</f>
        <v>4677.8668379421269</v>
      </c>
      <c r="Q184" s="7">
        <f>$B184*'Distributor Payments'!O$21</f>
        <v>4677.8668379421269</v>
      </c>
      <c r="R184" s="7">
        <f>$B184*'Distributor Payments'!P$21</f>
        <v>4677.8668379421269</v>
      </c>
      <c r="S184" s="7">
        <f>$B184*'Distributor Payments'!Q$21</f>
        <v>4677.8668379421269</v>
      </c>
      <c r="T184" s="7">
        <f>$B184*'Distributor Payments'!R$21</f>
        <v>4677.8668379421269</v>
      </c>
      <c r="U184" s="7">
        <f>$B184*'Distributor Payments'!S$21</f>
        <v>4677.8668379421269</v>
      </c>
      <c r="V184" s="7">
        <f>$B184*'Distributor Payments'!T$21</f>
        <v>4677.8668379421269</v>
      </c>
      <c r="W184" s="7">
        <f>$B184*'Distributor Payments'!U$21</f>
        <v>4677.8668379421269</v>
      </c>
      <c r="X184" s="7">
        <f>B184*'Distributor Payments'!$V$21</f>
        <v>1145.0251316244319</v>
      </c>
      <c r="Y184" s="7">
        <v>0</v>
      </c>
      <c r="Z184" s="7">
        <f t="shared" si="2"/>
        <v>80003.945783085364</v>
      </c>
    </row>
    <row r="185" spans="1:26" customFormat="1" x14ac:dyDescent="0.35">
      <c r="A185" s="3" t="s">
        <v>63</v>
      </c>
      <c r="B185" s="6">
        <v>1.3945446173540106E-4</v>
      </c>
      <c r="C185" s="8" t="s">
        <v>209</v>
      </c>
      <c r="D185" s="33" t="s">
        <v>336</v>
      </c>
      <c r="E185" s="25">
        <v>1036.76</v>
      </c>
      <c r="F185" s="25">
        <v>1130.27</v>
      </c>
      <c r="G185" s="28">
        <v>1130.27</v>
      </c>
      <c r="H185" s="28">
        <v>2342.14</v>
      </c>
      <c r="I185" s="28">
        <v>1030.8900000000001</v>
      </c>
      <c r="J185" s="7">
        <f>$B185*'Distributor Payments'!H$21</f>
        <v>2342.1429534947588</v>
      </c>
      <c r="K185" s="7">
        <f>$B185*'Distributor Payments'!I$21</f>
        <v>2342.1429534722947</v>
      </c>
      <c r="L185" s="7">
        <f>$B185*'Distributor Payments'!J$21</f>
        <v>892.35646522899037</v>
      </c>
      <c r="M185" s="7">
        <f>$B185*'Distributor Payments'!K$21</f>
        <v>2754.6422995816542</v>
      </c>
      <c r="N185" s="7">
        <f>$B185*'Distributor Payments'!L$21</f>
        <v>2754.6422995816542</v>
      </c>
      <c r="O185" s="7">
        <f>$B185*'Distributor Payments'!M$21</f>
        <v>2754.6422995816542</v>
      </c>
      <c r="P185" s="7">
        <f>$B185*'Distributor Payments'!N$21</f>
        <v>2315.554855134837</v>
      </c>
      <c r="Q185" s="7">
        <f>$B185*'Distributor Payments'!O$21</f>
        <v>2315.554855134837</v>
      </c>
      <c r="R185" s="7">
        <f>$B185*'Distributor Payments'!P$21</f>
        <v>2315.554855134837</v>
      </c>
      <c r="S185" s="7">
        <f>$B185*'Distributor Payments'!Q$21</f>
        <v>2315.554855134837</v>
      </c>
      <c r="T185" s="7">
        <f>$B185*'Distributor Payments'!R$21</f>
        <v>2315.554855134837</v>
      </c>
      <c r="U185" s="7">
        <f>$B185*'Distributor Payments'!S$21</f>
        <v>2315.554855134837</v>
      </c>
      <c r="V185" s="7">
        <f>$B185*'Distributor Payments'!T$21</f>
        <v>2315.554855134837</v>
      </c>
      <c r="W185" s="7">
        <f>$B185*'Distributor Payments'!U$21</f>
        <v>2315.554855134837</v>
      </c>
      <c r="X185" s="7">
        <f>B185*'Distributor Payments'!$V$21</f>
        <v>566.79007646800414</v>
      </c>
      <c r="Y185" s="7">
        <v>0</v>
      </c>
      <c r="Z185" s="7">
        <f t="shared" si="2"/>
        <v>39602.12818848771</v>
      </c>
    </row>
    <row r="186" spans="1:26" customFormat="1" x14ac:dyDescent="0.35">
      <c r="A186" s="3" t="s">
        <v>168</v>
      </c>
      <c r="B186" s="6">
        <v>2.0038613874457907E-4</v>
      </c>
      <c r="C186" s="8" t="s">
        <v>210</v>
      </c>
      <c r="D186" s="33" t="s">
        <v>336</v>
      </c>
      <c r="E186" s="25">
        <v>1489.75</v>
      </c>
      <c r="F186" s="25">
        <v>1624.12</v>
      </c>
      <c r="G186" s="28">
        <v>1624.12</v>
      </c>
      <c r="H186" s="28">
        <v>3365.49</v>
      </c>
      <c r="I186" s="28">
        <v>1481.31</v>
      </c>
      <c r="J186" s="7">
        <f>$B186*'Distributor Payments'!H$21</f>
        <v>3365.4927708884984</v>
      </c>
      <c r="K186" s="7">
        <f>$B186*'Distributor Payments'!I$21</f>
        <v>3365.4927708562191</v>
      </c>
      <c r="L186" s="7">
        <f>$B186*'Distributor Payments'!J$21</f>
        <v>1282.2527456330608</v>
      </c>
      <c r="M186" s="7">
        <f>$B186*'Distributor Payments'!K$21</f>
        <v>3958.2249801587404</v>
      </c>
      <c r="N186" s="7">
        <f>$B186*'Distributor Payments'!L$21</f>
        <v>3958.2249801587404</v>
      </c>
      <c r="O186" s="7">
        <f>$B186*'Distributor Payments'!M$21</f>
        <v>3958.2249801587404</v>
      </c>
      <c r="P186" s="7">
        <f>$B186*'Distributor Payments'!N$21</f>
        <v>3327.2875653998785</v>
      </c>
      <c r="Q186" s="7">
        <f>$B186*'Distributor Payments'!O$21</f>
        <v>3327.2875653998785</v>
      </c>
      <c r="R186" s="7">
        <f>$B186*'Distributor Payments'!P$21</f>
        <v>3327.2875653998785</v>
      </c>
      <c r="S186" s="7">
        <f>$B186*'Distributor Payments'!Q$21</f>
        <v>3327.2875653998785</v>
      </c>
      <c r="T186" s="7">
        <f>$B186*'Distributor Payments'!R$21</f>
        <v>3327.2875653998785</v>
      </c>
      <c r="U186" s="7">
        <f>$B186*'Distributor Payments'!S$21</f>
        <v>3327.2875653998785</v>
      </c>
      <c r="V186" s="7">
        <f>$B186*'Distributor Payments'!T$21</f>
        <v>3327.2875653998785</v>
      </c>
      <c r="W186" s="7">
        <f>$B186*'Distributor Payments'!U$21</f>
        <v>3327.2875653998785</v>
      </c>
      <c r="X186" s="7">
        <f>B186*'Distributor Payments'!$V$21</f>
        <v>814.43701039603332</v>
      </c>
      <c r="Y186" s="7">
        <v>0</v>
      </c>
      <c r="Z186" s="7">
        <f t="shared" si="2"/>
        <v>56905.440761449048</v>
      </c>
    </row>
    <row r="187" spans="1:26" customFormat="1" x14ac:dyDescent="0.35">
      <c r="A187" s="3" t="s">
        <v>63</v>
      </c>
      <c r="B187" s="6">
        <v>8.4457765175366002E-5</v>
      </c>
      <c r="C187" s="8" t="s">
        <v>211</v>
      </c>
      <c r="D187" s="33" t="s">
        <v>336</v>
      </c>
      <c r="E187" s="25">
        <v>627.89</v>
      </c>
      <c r="F187" s="29">
        <v>684.53</v>
      </c>
      <c r="G187" s="28">
        <v>684.53</v>
      </c>
      <c r="H187" s="28">
        <v>1418.47</v>
      </c>
      <c r="I187" s="28">
        <v>624.34</v>
      </c>
      <c r="J187" s="7">
        <f>$B187*'Distributor Payments'!H$21</f>
        <v>1418.4713569704534</v>
      </c>
      <c r="K187" s="7">
        <f>$B187*'Distributor Payments'!I$21</f>
        <v>1418.4713569568485</v>
      </c>
      <c r="L187" s="7">
        <f>$B187*'Distributor Payments'!J$21</f>
        <v>540.43758697393946</v>
      </c>
      <c r="M187" s="7">
        <f>$B187*'Distributor Payments'!K$21</f>
        <v>1668.293216187132</v>
      </c>
      <c r="N187" s="7">
        <f>$B187*'Distributor Payments'!L$21</f>
        <v>1668.293216187132</v>
      </c>
      <c r="O187" s="7">
        <f>$B187*'Distributor Payments'!M$21</f>
        <v>1668.293216187132</v>
      </c>
      <c r="P187" s="7">
        <f>$B187*'Distributor Payments'!N$21</f>
        <v>1402.3688146796048</v>
      </c>
      <c r="Q187" s="7">
        <f>$B187*'Distributor Payments'!O$21</f>
        <v>1402.3688146796048</v>
      </c>
      <c r="R187" s="7">
        <f>$B187*'Distributor Payments'!P$21</f>
        <v>1402.3688146796048</v>
      </c>
      <c r="S187" s="7">
        <f>$B187*'Distributor Payments'!Q$21</f>
        <v>1402.3688146796048</v>
      </c>
      <c r="T187" s="7">
        <f>$B187*'Distributor Payments'!R$21</f>
        <v>1402.3688146796048</v>
      </c>
      <c r="U187" s="7">
        <f>$B187*'Distributor Payments'!S$21</f>
        <v>1402.3688146796048</v>
      </c>
      <c r="V187" s="7">
        <f>$B187*'Distributor Payments'!T$21</f>
        <v>1402.3688146796048</v>
      </c>
      <c r="W187" s="7">
        <f>$B187*'Distributor Payments'!U$21</f>
        <v>1402.3688146796048</v>
      </c>
      <c r="X187" s="7">
        <f>B187*'Distributor Payments'!$V$21</f>
        <v>343.26490946478265</v>
      </c>
      <c r="Y187" s="7">
        <v>0</v>
      </c>
      <c r="Z187" s="7">
        <f t="shared" si="2"/>
        <v>23984.235376364257</v>
      </c>
    </row>
    <row r="188" spans="1:26" customFormat="1" x14ac:dyDescent="0.35">
      <c r="A188" s="3" t="s">
        <v>105</v>
      </c>
      <c r="B188" s="6">
        <v>2.0211675856595515E-4</v>
      </c>
      <c r="C188" s="8" t="s">
        <v>212</v>
      </c>
      <c r="D188" s="33" t="s">
        <v>336</v>
      </c>
      <c r="E188" s="25">
        <v>1502.62</v>
      </c>
      <c r="F188" s="29">
        <v>1638.15</v>
      </c>
      <c r="G188" s="28">
        <v>1638.15</v>
      </c>
      <c r="H188" s="28">
        <v>3394.56</v>
      </c>
      <c r="I188" s="28">
        <v>1494.11</v>
      </c>
      <c r="J188" s="7">
        <f>$B188*'Distributor Payments'!H$21</f>
        <v>3394.5585961720603</v>
      </c>
      <c r="K188" s="7">
        <f>$B188*'Distributor Payments'!I$21</f>
        <v>3394.5585961395022</v>
      </c>
      <c r="L188" s="7">
        <f>$B188*'Distributor Payments'!J$21</f>
        <v>1293.3268250654462</v>
      </c>
      <c r="M188" s="7">
        <f>$B188*'Distributor Payments'!K$21</f>
        <v>3992.409892603509</v>
      </c>
      <c r="N188" s="7">
        <f>$B188*'Distributor Payments'!L$21</f>
        <v>3992.409892603509</v>
      </c>
      <c r="O188" s="7">
        <f>$B188*'Distributor Payments'!M$21</f>
        <v>3992.409892603509</v>
      </c>
      <c r="P188" s="7">
        <f>$B188*'Distributor Payments'!N$21</f>
        <v>3356.0234342986696</v>
      </c>
      <c r="Q188" s="7">
        <f>$B188*'Distributor Payments'!O$21</f>
        <v>3356.0234342986696</v>
      </c>
      <c r="R188" s="7">
        <f>$B188*'Distributor Payments'!P$21</f>
        <v>3356.0234342986696</v>
      </c>
      <c r="S188" s="7">
        <f>$B188*'Distributor Payments'!Q$21</f>
        <v>3356.0234342986696</v>
      </c>
      <c r="T188" s="7">
        <f>$B188*'Distributor Payments'!R$21</f>
        <v>3356.0234342986696</v>
      </c>
      <c r="U188" s="7">
        <f>$B188*'Distributor Payments'!S$21</f>
        <v>3356.0234342986696</v>
      </c>
      <c r="V188" s="7">
        <f>$B188*'Distributor Payments'!T$21</f>
        <v>3356.0234342986696</v>
      </c>
      <c r="W188" s="7">
        <f>$B188*'Distributor Payments'!U$21</f>
        <v>3356.0234342986696</v>
      </c>
      <c r="X188" s="7">
        <f>B188*'Distributor Payments'!$V$21</f>
        <v>821.47083440344261</v>
      </c>
      <c r="Y188" s="7">
        <v>0</v>
      </c>
      <c r="Z188" s="7">
        <f t="shared" si="2"/>
        <v>57396.922003980304</v>
      </c>
    </row>
    <row r="189" spans="1:26" customFormat="1" x14ac:dyDescent="0.35">
      <c r="A189" s="3" t="s">
        <v>105</v>
      </c>
      <c r="B189" s="6">
        <v>9.7913195231527661E-4</v>
      </c>
      <c r="C189" s="8" t="s">
        <v>213</v>
      </c>
      <c r="D189" s="33" t="s">
        <v>336</v>
      </c>
      <c r="E189" s="25">
        <v>7279.27</v>
      </c>
      <c r="F189" s="25">
        <v>7935.82</v>
      </c>
      <c r="G189" s="28">
        <v>7935.82</v>
      </c>
      <c r="H189" s="28">
        <v>16444.560000000001</v>
      </c>
      <c r="I189" s="28">
        <v>7238.03</v>
      </c>
      <c r="J189" s="7">
        <f>$B189*'Distributor Payments'!H$21</f>
        <v>16444.558131155416</v>
      </c>
      <c r="K189" s="7">
        <f>$B189*'Distributor Payments'!I$21</f>
        <v>16444.558130997691</v>
      </c>
      <c r="L189" s="7">
        <f>$B189*'Distributor Payments'!J$21</f>
        <v>6265.3766476015135</v>
      </c>
      <c r="M189" s="7">
        <f>$B189*'Distributor Payments'!K$21</f>
        <v>19340.781636927317</v>
      </c>
      <c r="N189" s="7">
        <f>$B189*'Distributor Payments'!L$21</f>
        <v>19340.781636927317</v>
      </c>
      <c r="O189" s="7">
        <f>$B189*'Distributor Payments'!M$21</f>
        <v>19340.781636927317</v>
      </c>
      <c r="P189" s="7">
        <f>$B189*'Distributor Payments'!N$21</f>
        <v>16257.878864450446</v>
      </c>
      <c r="Q189" s="7">
        <f>$B189*'Distributor Payments'!O$21</f>
        <v>16257.878864450446</v>
      </c>
      <c r="R189" s="7">
        <f>$B189*'Distributor Payments'!P$21</f>
        <v>16257.878864450446</v>
      </c>
      <c r="S189" s="7">
        <f>$B189*'Distributor Payments'!Q$21</f>
        <v>16257.878864450446</v>
      </c>
      <c r="T189" s="7">
        <f>$B189*'Distributor Payments'!R$21</f>
        <v>16257.878864450446</v>
      </c>
      <c r="U189" s="7">
        <f>$B189*'Distributor Payments'!S$21</f>
        <v>16257.878864450446</v>
      </c>
      <c r="V189" s="7">
        <f>$B189*'Distributor Payments'!T$21</f>
        <v>16257.878864450446</v>
      </c>
      <c r="W189" s="7">
        <f>$B189*'Distributor Payments'!U$21</f>
        <v>16257.878864450446</v>
      </c>
      <c r="X189" s="7">
        <f>B189*'Distributor Payments'!$V$21</f>
        <v>3979.5232595570837</v>
      </c>
      <c r="Y189" s="7">
        <v>0</v>
      </c>
      <c r="Z189" s="7">
        <f t="shared" si="2"/>
        <v>278052.89199569717</v>
      </c>
    </row>
    <row r="190" spans="1:26" customFormat="1" x14ac:dyDescent="0.35">
      <c r="A190" s="3" t="s">
        <v>105</v>
      </c>
      <c r="B190" s="6">
        <v>1.9100374032320001E-2</v>
      </c>
      <c r="C190" s="8" t="s">
        <v>105</v>
      </c>
      <c r="D190" s="33" t="s">
        <v>336</v>
      </c>
      <c r="E190" s="25">
        <v>137762.60999999999</v>
      </c>
      <c r="F190" s="25">
        <v>150188.14000000001</v>
      </c>
      <c r="G190" s="28">
        <v>150188.14000000001</v>
      </c>
      <c r="H190" s="28">
        <v>320791.5</v>
      </c>
      <c r="I190" s="28">
        <v>141195.6</v>
      </c>
      <c r="J190" s="7">
        <f>$B190*'Distributor Payments'!H$21</f>
        <v>320791.50349304458</v>
      </c>
      <c r="K190" s="7">
        <f>$B190*'Distributor Payments'!I$21</f>
        <v>320791.50348996778</v>
      </c>
      <c r="L190" s="7">
        <f>$B190*'Distributor Payments'!J$21</f>
        <v>122221.56282365759</v>
      </c>
      <c r="M190" s="7">
        <f>$B190*'Distributor Payments'!K$21</f>
        <v>377289.45773775293</v>
      </c>
      <c r="N190" s="7">
        <f>$B190*'Distributor Payments'!L$21</f>
        <v>377289.45773775293</v>
      </c>
      <c r="O190" s="7">
        <f>$B190*'Distributor Payments'!M$21</f>
        <v>377289.45773775293</v>
      </c>
      <c r="P190" s="7">
        <f>$B190*'Distributor Payments'!N$21</f>
        <v>317149.86580599664</v>
      </c>
      <c r="Q190" s="7">
        <f>$B190*'Distributor Payments'!O$21</f>
        <v>317149.86580599664</v>
      </c>
      <c r="R190" s="7">
        <f>$B190*'Distributor Payments'!P$21</f>
        <v>317149.86580599664</v>
      </c>
      <c r="S190" s="7">
        <f>$B190*'Distributor Payments'!Q$21</f>
        <v>317149.86580599664</v>
      </c>
      <c r="T190" s="7">
        <f>$B190*'Distributor Payments'!R$21</f>
        <v>317149.86580599664</v>
      </c>
      <c r="U190" s="7">
        <f>$B190*'Distributor Payments'!S$21</f>
        <v>317149.86580599664</v>
      </c>
      <c r="V190" s="7">
        <f>$B190*'Distributor Payments'!T$21</f>
        <v>317149.86580599664</v>
      </c>
      <c r="W190" s="7">
        <f>$B190*'Distributor Payments'!U$21</f>
        <v>317149.86580599664</v>
      </c>
      <c r="X190" s="7">
        <f>B190*'Distributor Payments'!$V$21</f>
        <v>77630.377139793854</v>
      </c>
      <c r="Y190" s="7">
        <v>0</v>
      </c>
      <c r="Z190" s="7">
        <f t="shared" si="2"/>
        <v>5410628.236607695</v>
      </c>
    </row>
    <row r="191" spans="1:26" customFormat="1" x14ac:dyDescent="0.35">
      <c r="A191" s="3" t="s">
        <v>105</v>
      </c>
      <c r="B191" s="6">
        <v>2.802951365476971E-4</v>
      </c>
      <c r="C191" s="8" t="s">
        <v>214</v>
      </c>
      <c r="D191" s="33" t="s">
        <v>336</v>
      </c>
      <c r="E191" s="25">
        <v>2083.83</v>
      </c>
      <c r="F191" s="25">
        <v>2271.7800000000002</v>
      </c>
      <c r="G191" s="28">
        <v>2271.7800000000002</v>
      </c>
      <c r="H191" s="28">
        <v>4707.57</v>
      </c>
      <c r="I191" s="28">
        <v>2072.02</v>
      </c>
      <c r="J191" s="7">
        <f>$B191*'Distributor Payments'!H$21</f>
        <v>4707.5674079876871</v>
      </c>
      <c r="K191" s="7">
        <f>$B191*'Distributor Payments'!I$21</f>
        <v>4707.5674079425353</v>
      </c>
      <c r="L191" s="7">
        <f>$B191*'Distributor Payments'!J$21</f>
        <v>1793.5831823377612</v>
      </c>
      <c r="M191" s="7">
        <f>$B191*'Distributor Payments'!K$21</f>
        <v>5536.6664493409908</v>
      </c>
      <c r="N191" s="7">
        <f>$B191*'Distributor Payments'!L$21</f>
        <v>5536.6664493409908</v>
      </c>
      <c r="O191" s="7">
        <f>$B191*'Distributor Payments'!M$21</f>
        <v>5536.6664493409908</v>
      </c>
      <c r="P191" s="7">
        <f>$B191*'Distributor Payments'!N$21</f>
        <v>4654.126918758463</v>
      </c>
      <c r="Q191" s="7">
        <f>$B191*'Distributor Payments'!O$21</f>
        <v>4654.126918758463</v>
      </c>
      <c r="R191" s="7">
        <f>$B191*'Distributor Payments'!P$21</f>
        <v>4654.126918758463</v>
      </c>
      <c r="S191" s="7">
        <f>$B191*'Distributor Payments'!Q$21</f>
        <v>4654.126918758463</v>
      </c>
      <c r="T191" s="7">
        <f>$B191*'Distributor Payments'!R$21</f>
        <v>4654.126918758463</v>
      </c>
      <c r="U191" s="7">
        <f>$B191*'Distributor Payments'!S$21</f>
        <v>4654.126918758463</v>
      </c>
      <c r="V191" s="7">
        <f>$B191*'Distributor Payments'!T$21</f>
        <v>4654.126918758463</v>
      </c>
      <c r="W191" s="7">
        <f>$B191*'Distributor Payments'!U$21</f>
        <v>4654.126918758463</v>
      </c>
      <c r="X191" s="7">
        <f>B191*'Distributor Payments'!$V$21</f>
        <v>1139.2141915037023</v>
      </c>
      <c r="Y191" s="7">
        <v>0</v>
      </c>
      <c r="Z191" s="7">
        <f t="shared" si="2"/>
        <v>79597.926887862384</v>
      </c>
    </row>
    <row r="192" spans="1:26" customFormat="1" x14ac:dyDescent="0.35">
      <c r="A192" s="3" t="s">
        <v>75</v>
      </c>
      <c r="B192" s="6">
        <v>2.6908783542163952E-4</v>
      </c>
      <c r="C192" s="8" t="s">
        <v>215</v>
      </c>
      <c r="D192" s="33" t="s">
        <v>336</v>
      </c>
      <c r="E192" s="25">
        <v>2000.51</v>
      </c>
      <c r="F192" s="25">
        <v>2180.94</v>
      </c>
      <c r="G192" s="28">
        <v>2180.94</v>
      </c>
      <c r="H192" s="28">
        <v>4519.34</v>
      </c>
      <c r="I192" s="28">
        <v>1989.18</v>
      </c>
      <c r="J192" s="7">
        <f>$B192*'Distributor Payments'!H$21</f>
        <v>4519.3403621589605</v>
      </c>
      <c r="K192" s="7">
        <f>$B192*'Distributor Payments'!I$21</f>
        <v>4519.3403621156149</v>
      </c>
      <c r="L192" s="7">
        <f>$B192*'Distributor Payments'!J$21</f>
        <v>1721.8686778812369</v>
      </c>
      <c r="M192" s="7">
        <f>$B192*'Distributor Payments'!K$21</f>
        <v>5315.2887654590395</v>
      </c>
      <c r="N192" s="7">
        <f>$B192*'Distributor Payments'!L$21</f>
        <v>5315.2887654590395</v>
      </c>
      <c r="O192" s="7">
        <f>$B192*'Distributor Payments'!M$21</f>
        <v>5315.2887654590395</v>
      </c>
      <c r="P192" s="7">
        <f>$B192*'Distributor Payments'!N$21</f>
        <v>4468.0366337115775</v>
      </c>
      <c r="Q192" s="7">
        <f>$B192*'Distributor Payments'!O$21</f>
        <v>4468.0366337115775</v>
      </c>
      <c r="R192" s="7">
        <f>$B192*'Distributor Payments'!P$21</f>
        <v>4468.0366337115775</v>
      </c>
      <c r="S192" s="7">
        <f>$B192*'Distributor Payments'!Q$21</f>
        <v>4468.0366337115775</v>
      </c>
      <c r="T192" s="7">
        <f>$B192*'Distributor Payments'!R$21</f>
        <v>4468.0366337115775</v>
      </c>
      <c r="U192" s="7">
        <f>$B192*'Distributor Payments'!S$21</f>
        <v>4468.0366337115775</v>
      </c>
      <c r="V192" s="7">
        <f>$B192*'Distributor Payments'!T$21</f>
        <v>4468.0366337115775</v>
      </c>
      <c r="W192" s="7">
        <f>$B192*'Distributor Payments'!U$21</f>
        <v>4468.0366337115775</v>
      </c>
      <c r="X192" s="7">
        <f>B192*'Distributor Payments'!$V$21</f>
        <v>1093.6639309871857</v>
      </c>
      <c r="Y192" s="7">
        <v>0</v>
      </c>
      <c r="Z192" s="7">
        <f t="shared" si="2"/>
        <v>76415.282699212723</v>
      </c>
    </row>
    <row r="193" spans="1:26" customFormat="1" x14ac:dyDescent="0.35">
      <c r="A193" s="3" t="s">
        <v>216</v>
      </c>
      <c r="B193" s="6">
        <v>5.2318127209600006E-3</v>
      </c>
      <c r="C193" s="8" t="s">
        <v>216</v>
      </c>
      <c r="D193" s="33" t="s">
        <v>336</v>
      </c>
      <c r="E193" s="25">
        <v>37734.769999999997</v>
      </c>
      <c r="F193" s="25">
        <v>41138.26</v>
      </c>
      <c r="G193" s="28">
        <v>41138.26</v>
      </c>
      <c r="H193" s="28">
        <v>87868.49</v>
      </c>
      <c r="I193" s="28">
        <v>38675.1</v>
      </c>
      <c r="J193" s="7">
        <f>$B193*'Distributor Payments'!H$21</f>
        <v>87868.492308626286</v>
      </c>
      <c r="K193" s="7">
        <f>$B193*'Distributor Payments'!I$21</f>
        <v>87868.492307783512</v>
      </c>
      <c r="L193" s="7">
        <f>$B193*'Distributor Payments'!J$21</f>
        <v>33477.895567616535</v>
      </c>
      <c r="M193" s="7">
        <f>$B193*'Distributor Payments'!K$21</f>
        <v>103343.93353430672</v>
      </c>
      <c r="N193" s="7">
        <f>$B193*'Distributor Payments'!L$21</f>
        <v>103343.93353430672</v>
      </c>
      <c r="O193" s="7">
        <f>$B193*'Distributor Payments'!M$21</f>
        <v>103343.93353430672</v>
      </c>
      <c r="P193" s="7">
        <f>$B193*'Distributor Payments'!N$21</f>
        <v>86871.005749253876</v>
      </c>
      <c r="Q193" s="7">
        <f>$B193*'Distributor Payments'!O$21</f>
        <v>86871.005749253876</v>
      </c>
      <c r="R193" s="7">
        <f>$B193*'Distributor Payments'!P$21</f>
        <v>86871.005749253876</v>
      </c>
      <c r="S193" s="7">
        <f>$B193*'Distributor Payments'!Q$21</f>
        <v>86871.005749253876</v>
      </c>
      <c r="T193" s="7">
        <f>$B193*'Distributor Payments'!R$21</f>
        <v>86871.005749253876</v>
      </c>
      <c r="U193" s="7">
        <f>$B193*'Distributor Payments'!S$21</f>
        <v>86871.005749253876</v>
      </c>
      <c r="V193" s="7">
        <f>$B193*'Distributor Payments'!T$21</f>
        <v>86871.005749253876</v>
      </c>
      <c r="W193" s="7">
        <f>$B193*'Distributor Payments'!U$21</f>
        <v>86871.005749253876</v>
      </c>
      <c r="X193" s="7">
        <f>B193*'Distributor Payments'!$V$21</f>
        <v>21263.855564589892</v>
      </c>
      <c r="Y193" s="7">
        <v>0</v>
      </c>
      <c r="Z193" s="7">
        <f t="shared" si="2"/>
        <v>1482033.4623455671</v>
      </c>
    </row>
    <row r="194" spans="1:26" customFormat="1" x14ac:dyDescent="0.35">
      <c r="A194" s="3" t="s">
        <v>217</v>
      </c>
      <c r="B194" s="6">
        <v>3.2670462068869281E-4</v>
      </c>
      <c r="C194" s="8" t="s">
        <v>218</v>
      </c>
      <c r="D194" s="33" t="s">
        <v>336</v>
      </c>
      <c r="E194" s="25">
        <v>2428.86</v>
      </c>
      <c r="F194" s="25">
        <v>2647.93</v>
      </c>
      <c r="G194" s="28">
        <v>2647.93</v>
      </c>
      <c r="H194" s="28">
        <v>5487.02</v>
      </c>
      <c r="I194" s="28">
        <v>2415.1</v>
      </c>
      <c r="J194" s="7">
        <f>$B194*'Distributor Payments'!H$21</f>
        <v>5487.0164475056999</v>
      </c>
      <c r="K194" s="7">
        <f>$B194*'Distributor Payments'!I$21</f>
        <v>5487.0164474530729</v>
      </c>
      <c r="L194" s="7">
        <f>$B194*'Distributor Payments'!J$21</f>
        <v>2090.5532663766485</v>
      </c>
      <c r="M194" s="7">
        <f>$B194*'Distributor Payments'!K$21</f>
        <v>6453.392429461408</v>
      </c>
      <c r="N194" s="7">
        <f>$B194*'Distributor Payments'!L$21</f>
        <v>6453.392429461408</v>
      </c>
      <c r="O194" s="7">
        <f>$B194*'Distributor Payments'!M$21</f>
        <v>6453.392429461408</v>
      </c>
      <c r="P194" s="7">
        <f>$B194*'Distributor Payments'!N$21</f>
        <v>5424.7276223120425</v>
      </c>
      <c r="Q194" s="7">
        <f>$B194*'Distributor Payments'!O$21</f>
        <v>5424.7276223120425</v>
      </c>
      <c r="R194" s="7">
        <f>$B194*'Distributor Payments'!P$21</f>
        <v>5424.7276223120425</v>
      </c>
      <c r="S194" s="7">
        <f>$B194*'Distributor Payments'!Q$21</f>
        <v>5424.7276223120425</v>
      </c>
      <c r="T194" s="7">
        <f>$B194*'Distributor Payments'!R$21</f>
        <v>5424.7276223120425</v>
      </c>
      <c r="U194" s="7">
        <f>$B194*'Distributor Payments'!S$21</f>
        <v>5424.7276223120425</v>
      </c>
      <c r="V194" s="7">
        <f>$B194*'Distributor Payments'!T$21</f>
        <v>5424.7276223120425</v>
      </c>
      <c r="W194" s="7">
        <f>$B194*'Distributor Payments'!U$21</f>
        <v>5424.7276223120425</v>
      </c>
      <c r="X194" s="7">
        <f>B194*'Distributor Payments'!$V$21</f>
        <v>1327.8380242429175</v>
      </c>
      <c r="Y194" s="7">
        <v>0</v>
      </c>
      <c r="Z194" s="7">
        <f t="shared" si="2"/>
        <v>92777.262452458905</v>
      </c>
    </row>
    <row r="195" spans="1:26" customFormat="1" x14ac:dyDescent="0.35">
      <c r="A195" s="3" t="s">
        <v>47</v>
      </c>
      <c r="B195" s="6">
        <v>1.2061330594154156E-4</v>
      </c>
      <c r="C195" s="8" t="s">
        <v>219</v>
      </c>
      <c r="D195" s="8" t="s">
        <v>337</v>
      </c>
      <c r="E195" s="25">
        <v>0</v>
      </c>
      <c r="F195" s="25">
        <v>0</v>
      </c>
      <c r="G195" s="25">
        <v>0</v>
      </c>
      <c r="H195" s="28"/>
      <c r="I195" s="30">
        <v>0</v>
      </c>
      <c r="J195" s="25">
        <v>0</v>
      </c>
      <c r="K195" s="25">
        <v>0</v>
      </c>
      <c r="L195" s="25">
        <v>0</v>
      </c>
      <c r="M195" s="25">
        <v>0</v>
      </c>
      <c r="N195" s="25">
        <v>0</v>
      </c>
      <c r="O195" s="25">
        <v>0</v>
      </c>
      <c r="P195" s="25">
        <v>0</v>
      </c>
      <c r="Q195" s="25">
        <v>0</v>
      </c>
      <c r="R195" s="25">
        <v>0</v>
      </c>
      <c r="S195" s="25">
        <v>0</v>
      </c>
      <c r="T195" s="25">
        <v>0</v>
      </c>
      <c r="U195" s="25">
        <v>0</v>
      </c>
      <c r="V195" s="25">
        <v>0</v>
      </c>
      <c r="W195" s="25">
        <v>0</v>
      </c>
      <c r="X195" s="25">
        <v>0</v>
      </c>
      <c r="Y195" s="25">
        <v>0</v>
      </c>
      <c r="Z195" s="7">
        <f t="shared" si="2"/>
        <v>0</v>
      </c>
    </row>
    <row r="196" spans="1:26" customFormat="1" x14ac:dyDescent="0.35">
      <c r="A196" s="3" t="s">
        <v>22</v>
      </c>
      <c r="B196" s="6">
        <v>9.3741051152000014E-4</v>
      </c>
      <c r="C196" s="8" t="s">
        <v>220</v>
      </c>
      <c r="D196" s="33" t="s">
        <v>336</v>
      </c>
      <c r="E196" s="25">
        <v>6761.13</v>
      </c>
      <c r="F196" s="29">
        <v>7370.95</v>
      </c>
      <c r="G196" s="28">
        <v>7370.95</v>
      </c>
      <c r="H196" s="28">
        <v>15743.84</v>
      </c>
      <c r="I196" s="28">
        <v>6929.62</v>
      </c>
      <c r="J196" s="7">
        <f>$B196*'Distributor Payments'!H$21</f>
        <v>15743.844956745024</v>
      </c>
      <c r="K196" s="7">
        <f>$B196*'Distributor Payments'!I$21</f>
        <v>15743.844956594021</v>
      </c>
      <c r="L196" s="7">
        <f>$B196*'Distributor Payments'!J$21</f>
        <v>5998.404928166864</v>
      </c>
      <c r="M196" s="7">
        <f>$B196*'Distributor Payments'!K$21</f>
        <v>18516.658520434838</v>
      </c>
      <c r="N196" s="7">
        <f>$B196*'Distributor Payments'!L$21</f>
        <v>18516.658520434838</v>
      </c>
      <c r="O196" s="7">
        <f>$B196*'Distributor Payments'!M$21</f>
        <v>18516.658520434838</v>
      </c>
      <c r="P196" s="7">
        <f>$B196*'Distributor Payments'!N$21</f>
        <v>15565.120213386084</v>
      </c>
      <c r="Q196" s="7">
        <f>$B196*'Distributor Payments'!O$21</f>
        <v>15565.120213386084</v>
      </c>
      <c r="R196" s="7">
        <f>$B196*'Distributor Payments'!P$21</f>
        <v>15565.120213386084</v>
      </c>
      <c r="S196" s="7">
        <f>$B196*'Distributor Payments'!Q$21</f>
        <v>15565.120213386084</v>
      </c>
      <c r="T196" s="7">
        <f>$B196*'Distributor Payments'!R$21</f>
        <v>15565.120213386084</v>
      </c>
      <c r="U196" s="7">
        <f>$B196*'Distributor Payments'!S$21</f>
        <v>15565.120213386084</v>
      </c>
      <c r="V196" s="7">
        <f>$B196*'Distributor Payments'!T$21</f>
        <v>15565.120213386084</v>
      </c>
      <c r="W196" s="7">
        <f>$B196*'Distributor Payments'!U$21</f>
        <v>15565.120213386084</v>
      </c>
      <c r="X196" s="7">
        <f>B196*'Distributor Payments'!$V$21</f>
        <v>3809.9532198148049</v>
      </c>
      <c r="Y196" s="7">
        <v>0</v>
      </c>
      <c r="Z196" s="7">
        <f t="shared" ref="Z196:Z259" si="3">SUM(E196:Y196)</f>
        <v>265543.47532971384</v>
      </c>
    </row>
    <row r="197" spans="1:26" customFormat="1" x14ac:dyDescent="0.35">
      <c r="A197" s="3" t="s">
        <v>105</v>
      </c>
      <c r="B197" s="6">
        <v>3.9308351715480787E-4</v>
      </c>
      <c r="C197" s="8" t="s">
        <v>221</v>
      </c>
      <c r="D197" s="33" t="s">
        <v>336</v>
      </c>
      <c r="E197" s="25">
        <v>2922.34</v>
      </c>
      <c r="F197" s="25">
        <v>3185.92</v>
      </c>
      <c r="G197" s="28">
        <v>3185.92</v>
      </c>
      <c r="H197" s="28">
        <v>6601.85</v>
      </c>
      <c r="I197" s="28">
        <v>2905.79</v>
      </c>
      <c r="J197" s="7">
        <f>$B197*'Distributor Payments'!H$21</f>
        <v>6601.8525214769579</v>
      </c>
      <c r="K197" s="7">
        <f>$B197*'Distributor Payments'!I$21</f>
        <v>6601.852521413638</v>
      </c>
      <c r="L197" s="7">
        <f>$B197*'Distributor Payments'!J$21</f>
        <v>2515.3058105347022</v>
      </c>
      <c r="M197" s="7">
        <f>$B197*'Distributor Payments'!K$21</f>
        <v>7764.5739702288092</v>
      </c>
      <c r="N197" s="7">
        <f>$B197*'Distributor Payments'!L$21</f>
        <v>7764.5739702288092</v>
      </c>
      <c r="O197" s="7">
        <f>$B197*'Distributor Payments'!M$21</f>
        <v>7764.5739702288092</v>
      </c>
      <c r="P197" s="7">
        <f>$B197*'Distributor Payments'!N$21</f>
        <v>6526.9080335938352</v>
      </c>
      <c r="Q197" s="7">
        <f>$B197*'Distributor Payments'!O$21</f>
        <v>6526.9080335938352</v>
      </c>
      <c r="R197" s="7">
        <f>$B197*'Distributor Payments'!P$21</f>
        <v>6526.9080335938352</v>
      </c>
      <c r="S197" s="7">
        <f>$B197*'Distributor Payments'!Q$21</f>
        <v>6526.9080335938352</v>
      </c>
      <c r="T197" s="7">
        <f>$B197*'Distributor Payments'!R$21</f>
        <v>6526.9080335938352</v>
      </c>
      <c r="U197" s="7">
        <f>$B197*'Distributor Payments'!S$21</f>
        <v>6526.9080335938352</v>
      </c>
      <c r="V197" s="7">
        <f>$B197*'Distributor Payments'!T$21</f>
        <v>6526.9080335938352</v>
      </c>
      <c r="W197" s="7">
        <f>$B197*'Distributor Payments'!U$21</f>
        <v>6526.9080335938352</v>
      </c>
      <c r="X197" s="7">
        <f>B197*'Distributor Payments'!$V$21</f>
        <v>1597.6242995309485</v>
      </c>
      <c r="Y197" s="7">
        <v>0</v>
      </c>
      <c r="Z197" s="7">
        <f t="shared" si="3"/>
        <v>111627.44133239335</v>
      </c>
    </row>
    <row r="198" spans="1:26" customFormat="1" x14ac:dyDescent="0.35">
      <c r="A198" s="3" t="s">
        <v>34</v>
      </c>
      <c r="B198" s="6">
        <v>8.2098063557694125E-4</v>
      </c>
      <c r="C198" s="8" t="s">
        <v>222</v>
      </c>
      <c r="D198" s="33" t="s">
        <v>336</v>
      </c>
      <c r="E198" s="25">
        <v>6103.5</v>
      </c>
      <c r="F198" s="25">
        <v>6654.01</v>
      </c>
      <c r="G198" s="28">
        <v>6654.01</v>
      </c>
      <c r="H198" s="28">
        <v>13788.4</v>
      </c>
      <c r="I198" s="28">
        <v>6068.93</v>
      </c>
      <c r="J198" s="7">
        <f>$B198*'Distributor Payments'!H$21</f>
        <v>13788.400791511265</v>
      </c>
      <c r="K198" s="7">
        <f>$B198*'Distributor Payments'!I$21</f>
        <v>13788.400791379017</v>
      </c>
      <c r="L198" s="7">
        <f>$B198*'Distributor Payments'!J$21</f>
        <v>5253.3807012566449</v>
      </c>
      <c r="M198" s="7">
        <f>$B198*'Distributor Payments'!K$21</f>
        <v>16216.82058612529</v>
      </c>
      <c r="N198" s="7">
        <f>$B198*'Distributor Payments'!L$21</f>
        <v>16216.82058612529</v>
      </c>
      <c r="O198" s="7">
        <f>$B198*'Distributor Payments'!M$21</f>
        <v>16216.82058612529</v>
      </c>
      <c r="P198" s="7">
        <f>$B198*'Distributor Payments'!N$21</f>
        <v>13631.87432675227</v>
      </c>
      <c r="Q198" s="7">
        <f>$B198*'Distributor Payments'!O$21</f>
        <v>13631.87432675227</v>
      </c>
      <c r="R198" s="7">
        <f>$B198*'Distributor Payments'!P$21</f>
        <v>13631.87432675227</v>
      </c>
      <c r="S198" s="7">
        <f>$B198*'Distributor Payments'!Q$21</f>
        <v>13631.87432675227</v>
      </c>
      <c r="T198" s="7">
        <f>$B198*'Distributor Payments'!R$21</f>
        <v>13631.87432675227</v>
      </c>
      <c r="U198" s="7">
        <f>$B198*'Distributor Payments'!S$21</f>
        <v>13631.87432675227</v>
      </c>
      <c r="V198" s="7">
        <f>$B198*'Distributor Payments'!T$21</f>
        <v>13631.87432675227</v>
      </c>
      <c r="W198" s="7">
        <f>$B198*'Distributor Payments'!U$21</f>
        <v>13631.87432675227</v>
      </c>
      <c r="X198" s="7">
        <f>B198*'Distributor Payments'!$V$21</f>
        <v>3336.7428436983523</v>
      </c>
      <c r="Y198" s="7">
        <v>0</v>
      </c>
      <c r="Z198" s="7">
        <f t="shared" si="3"/>
        <v>233141.23150023929</v>
      </c>
    </row>
    <row r="199" spans="1:26" customFormat="1" x14ac:dyDescent="0.35">
      <c r="A199" s="3" t="s">
        <v>34</v>
      </c>
      <c r="B199" s="6">
        <v>5.8124223828232024E-4</v>
      </c>
      <c r="C199" s="8" t="s">
        <v>223</v>
      </c>
      <c r="D199" s="33" t="s">
        <v>336</v>
      </c>
      <c r="E199" s="25">
        <v>4321.1899999999996</v>
      </c>
      <c r="F199" s="25">
        <v>4710.9399999999996</v>
      </c>
      <c r="G199" s="28">
        <v>4710.9399999999996</v>
      </c>
      <c r="H199" s="28">
        <v>9761.99</v>
      </c>
      <c r="I199" s="28">
        <v>4296.71</v>
      </c>
      <c r="J199" s="7">
        <f>$B199*'Distributor Payments'!H$21</f>
        <v>9761.9853515297982</v>
      </c>
      <c r="K199" s="7">
        <f>$B199*'Distributor Payments'!I$21</f>
        <v>9761.9853514361694</v>
      </c>
      <c r="L199" s="7">
        <f>$B199*'Distributor Payments'!J$21</f>
        <v>3719.3164187139814</v>
      </c>
      <c r="M199" s="7">
        <f>$B199*'Distributor Payments'!K$21</f>
        <v>11481.270917770495</v>
      </c>
      <c r="N199" s="7">
        <f>$B199*'Distributor Payments'!L$21</f>
        <v>11481.270917770495</v>
      </c>
      <c r="O199" s="7">
        <f>$B199*'Distributor Payments'!M$21</f>
        <v>11481.270917770495</v>
      </c>
      <c r="P199" s="7">
        <f>$B199*'Distributor Payments'!N$21</f>
        <v>9651.1669122337225</v>
      </c>
      <c r="Q199" s="7">
        <f>$B199*'Distributor Payments'!O$21</f>
        <v>9651.1669122337225</v>
      </c>
      <c r="R199" s="7">
        <f>$B199*'Distributor Payments'!P$21</f>
        <v>9651.1669122337225</v>
      </c>
      <c r="S199" s="7">
        <f>$B199*'Distributor Payments'!Q$21</f>
        <v>9651.1669122337225</v>
      </c>
      <c r="T199" s="7">
        <f>$B199*'Distributor Payments'!R$21</f>
        <v>9651.1669122337225</v>
      </c>
      <c r="U199" s="7">
        <f>$B199*'Distributor Payments'!S$21</f>
        <v>9651.1669122337225</v>
      </c>
      <c r="V199" s="7">
        <f>$B199*'Distributor Payments'!T$21</f>
        <v>9651.1669122337225</v>
      </c>
      <c r="W199" s="7">
        <f>$B199*'Distributor Payments'!U$21</f>
        <v>9651.1669122337225</v>
      </c>
      <c r="X199" s="7">
        <f>B199*'Distributor Payments'!$V$21</f>
        <v>2362.3649511304234</v>
      </c>
      <c r="Y199" s="7">
        <v>0</v>
      </c>
      <c r="Z199" s="7">
        <f t="shared" si="3"/>
        <v>165060.57012399161</v>
      </c>
    </row>
    <row r="200" spans="1:26" customFormat="1" x14ac:dyDescent="0.35">
      <c r="A200" s="3" t="s">
        <v>34</v>
      </c>
      <c r="B200" s="6">
        <v>1.5366114375069327E-4</v>
      </c>
      <c r="C200" s="8" t="s">
        <v>224</v>
      </c>
      <c r="D200" s="33" t="s">
        <v>336</v>
      </c>
      <c r="E200" s="25">
        <v>1142.3800000000001</v>
      </c>
      <c r="F200" s="29">
        <v>1245.42</v>
      </c>
      <c r="G200" s="28">
        <v>1245.42</v>
      </c>
      <c r="H200" s="28">
        <v>2580.7399999999998</v>
      </c>
      <c r="I200" s="28">
        <v>1135.9100000000001</v>
      </c>
      <c r="J200" s="7">
        <f>$B200*'Distributor Payments'!H$21</f>
        <v>2580.7447146760624</v>
      </c>
      <c r="K200" s="7">
        <f>$B200*'Distributor Payments'!I$21</f>
        <v>2580.7447146513096</v>
      </c>
      <c r="L200" s="7">
        <f>$B200*'Distributor Payments'!J$21</f>
        <v>983.26373623371728</v>
      </c>
      <c r="M200" s="7">
        <f>$B200*'Distributor Payments'!K$21</f>
        <v>3035.2667179690902</v>
      </c>
      <c r="N200" s="7">
        <f>$B200*'Distributor Payments'!L$21</f>
        <v>3035.2667179690902</v>
      </c>
      <c r="O200" s="7">
        <f>$B200*'Distributor Payments'!M$21</f>
        <v>3035.2667179690902</v>
      </c>
      <c r="P200" s="7">
        <f>$B200*'Distributor Payments'!N$21</f>
        <v>2551.4479997965236</v>
      </c>
      <c r="Q200" s="7">
        <f>$B200*'Distributor Payments'!O$21</f>
        <v>2551.4479997965236</v>
      </c>
      <c r="R200" s="7">
        <f>$B200*'Distributor Payments'!P$21</f>
        <v>2551.4479997965236</v>
      </c>
      <c r="S200" s="7">
        <f>$B200*'Distributor Payments'!Q$21</f>
        <v>2551.4479997965236</v>
      </c>
      <c r="T200" s="7">
        <f>$B200*'Distributor Payments'!R$21</f>
        <v>2551.4479997965236</v>
      </c>
      <c r="U200" s="7">
        <f>$B200*'Distributor Payments'!S$21</f>
        <v>2551.4479997965236</v>
      </c>
      <c r="V200" s="7">
        <f>$B200*'Distributor Payments'!T$21</f>
        <v>2551.4479997965236</v>
      </c>
      <c r="W200" s="7">
        <f>$B200*'Distributor Payments'!U$21</f>
        <v>2551.4479997965236</v>
      </c>
      <c r="X200" s="7">
        <f>B200*'Distributor Payments'!$V$21</f>
        <v>624.53083488907384</v>
      </c>
      <c r="Y200" s="7">
        <v>0</v>
      </c>
      <c r="Z200" s="7">
        <f t="shared" si="3"/>
        <v>43636.538152729634</v>
      </c>
    </row>
    <row r="201" spans="1:26" customFormat="1" x14ac:dyDescent="0.35">
      <c r="A201" s="3" t="s">
        <v>34</v>
      </c>
      <c r="B201" s="6">
        <v>6.0626288796559999E-2</v>
      </c>
      <c r="C201" s="8" t="s">
        <v>34</v>
      </c>
      <c r="D201" s="33" t="s">
        <v>336</v>
      </c>
      <c r="E201" s="25">
        <v>437270.81</v>
      </c>
      <c r="F201" s="25">
        <v>476710.55</v>
      </c>
      <c r="G201" s="28">
        <v>476710.55</v>
      </c>
      <c r="H201" s="28">
        <v>1018220.81</v>
      </c>
      <c r="I201" s="28">
        <v>448167.42</v>
      </c>
      <c r="J201" s="7">
        <f>$B201*'Distributor Payments'!H$21</f>
        <v>1018220.8108251237</v>
      </c>
      <c r="K201" s="7">
        <f>$B201*'Distributor Payments'!I$21</f>
        <v>1018220.8108153576</v>
      </c>
      <c r="L201" s="7">
        <f>$B201*'Distributor Payments'!J$21</f>
        <v>387942.12890154275</v>
      </c>
      <c r="M201" s="7">
        <f>$B201*'Distributor Payments'!K$21</f>
        <v>1197550.3508989771</v>
      </c>
      <c r="N201" s="7">
        <f>$B201*'Distributor Payments'!L$21</f>
        <v>1197550.3508989771</v>
      </c>
      <c r="O201" s="7">
        <f>$B201*'Distributor Payments'!M$21</f>
        <v>1197550.3508989771</v>
      </c>
      <c r="P201" s="7">
        <f>$B201*'Distributor Payments'!N$21</f>
        <v>1006661.9283794803</v>
      </c>
      <c r="Q201" s="7">
        <f>$B201*'Distributor Payments'!O$21</f>
        <v>1006661.9283794803</v>
      </c>
      <c r="R201" s="7">
        <f>$B201*'Distributor Payments'!P$21</f>
        <v>1006661.9283794803</v>
      </c>
      <c r="S201" s="7">
        <f>$B201*'Distributor Payments'!Q$21</f>
        <v>1006661.9283794803</v>
      </c>
      <c r="T201" s="7">
        <f>$B201*'Distributor Payments'!R$21</f>
        <v>1006661.9283794803</v>
      </c>
      <c r="U201" s="7">
        <f>$B201*'Distributor Payments'!S$21</f>
        <v>1006661.9283794803</v>
      </c>
      <c r="V201" s="7">
        <f>$B201*'Distributor Payments'!T$21</f>
        <v>1006661.9283794803</v>
      </c>
      <c r="W201" s="7">
        <f>$B201*'Distributor Payments'!U$21</f>
        <v>1006661.9283794803</v>
      </c>
      <c r="X201" s="7">
        <f>B201*'Distributor Payments'!$V$21</f>
        <v>246405.7329924104</v>
      </c>
      <c r="Y201" s="7">
        <v>0</v>
      </c>
      <c r="Z201" s="7">
        <f t="shared" si="3"/>
        <v>17173816.103267204</v>
      </c>
    </row>
    <row r="202" spans="1:26" customFormat="1" x14ac:dyDescent="0.35">
      <c r="A202" s="3" t="s">
        <v>225</v>
      </c>
      <c r="B202" s="6">
        <v>2.4376421473599999E-3</v>
      </c>
      <c r="C202" s="8" t="s">
        <v>225</v>
      </c>
      <c r="D202" s="33" t="s">
        <v>336</v>
      </c>
      <c r="E202" s="25">
        <v>17581.64</v>
      </c>
      <c r="F202" s="25">
        <v>19167.419999999998</v>
      </c>
      <c r="G202" s="28">
        <v>19167.419999999998</v>
      </c>
      <c r="H202" s="28">
        <v>40940.29</v>
      </c>
      <c r="I202" s="28">
        <v>18019.77</v>
      </c>
      <c r="J202" s="7">
        <f>$B202*'Distributor Payments'!H$21</f>
        <v>40940.291960065173</v>
      </c>
      <c r="K202" s="7">
        <f>$B202*'Distributor Payments'!I$21</f>
        <v>40940.291959672504</v>
      </c>
      <c r="L202" s="7">
        <f>$B202*'Distributor Payments'!J$21</f>
        <v>15598.251235866917</v>
      </c>
      <c r="M202" s="7">
        <f>$B202*'Distributor Payments'!K$21</f>
        <v>48150.715916867113</v>
      </c>
      <c r="N202" s="7">
        <f>$B202*'Distributor Payments'!L$21</f>
        <v>48150.715916867113</v>
      </c>
      <c r="O202" s="7">
        <f>$B202*'Distributor Payments'!M$21</f>
        <v>48150.715916867113</v>
      </c>
      <c r="P202" s="7">
        <f>$B202*'Distributor Payments'!N$21</f>
        <v>40475.536165422527</v>
      </c>
      <c r="Q202" s="7">
        <f>$B202*'Distributor Payments'!O$21</f>
        <v>40475.536165422527</v>
      </c>
      <c r="R202" s="7">
        <f>$B202*'Distributor Payments'!P$21</f>
        <v>40475.536165422527</v>
      </c>
      <c r="S202" s="7">
        <f>$B202*'Distributor Payments'!Q$21</f>
        <v>40475.536165422527</v>
      </c>
      <c r="T202" s="7">
        <f>$B202*'Distributor Payments'!R$21</f>
        <v>40475.536165422527</v>
      </c>
      <c r="U202" s="7">
        <f>$B202*'Distributor Payments'!S$21</f>
        <v>40475.536165422527</v>
      </c>
      <c r="V202" s="7">
        <f>$B202*'Distributor Payments'!T$21</f>
        <v>40475.536165422527</v>
      </c>
      <c r="W202" s="7">
        <f>$B202*'Distributor Payments'!U$21</f>
        <v>40475.536165422527</v>
      </c>
      <c r="X202" s="7">
        <f>B202*'Distributor Payments'!$V$21</f>
        <v>9907.4017561753772</v>
      </c>
      <c r="Y202" s="7">
        <v>0</v>
      </c>
      <c r="Z202" s="7">
        <f t="shared" si="3"/>
        <v>690519.21398576151</v>
      </c>
    </row>
    <row r="203" spans="1:26" customFormat="1" x14ac:dyDescent="0.35">
      <c r="A203" s="3" t="s">
        <v>60</v>
      </c>
      <c r="B203" s="6">
        <v>2.0250384432724366E-6</v>
      </c>
      <c r="C203" s="8" t="s">
        <v>226</v>
      </c>
      <c r="D203" s="33" t="s">
        <v>338</v>
      </c>
      <c r="E203" s="25">
        <v>542.69000000000005</v>
      </c>
      <c r="F203" s="48">
        <v>16.41</v>
      </c>
      <c r="G203" s="49">
        <v>16.41</v>
      </c>
      <c r="H203" s="28">
        <v>0</v>
      </c>
      <c r="I203" s="28">
        <v>0</v>
      </c>
      <c r="J203" s="49">
        <f>$B$203*'Distributor Payments'!H$21</f>
        <v>34.010597161571646</v>
      </c>
      <c r="K203" s="49">
        <f>$B$203*'Distributor Payments'!I$21</f>
        <v>34.010597161245443</v>
      </c>
      <c r="L203" s="49">
        <f>$B$203*'Distributor Payments'!J$21</f>
        <v>12.958037517796253</v>
      </c>
      <c r="M203" s="49">
        <f>$B$203*'Distributor Payments'!K$21</f>
        <v>40.000559929744981</v>
      </c>
      <c r="N203" s="49">
        <f>$B$203*'Distributor Payments'!L$21</f>
        <v>40.000559929744981</v>
      </c>
      <c r="O203" s="49">
        <f>$B$203*'Distributor Payments'!M$21</f>
        <v>40.000559929744981</v>
      </c>
      <c r="P203" s="49">
        <f>$B$203*'Distributor Payments'!N$21</f>
        <v>33.624507533155814</v>
      </c>
      <c r="Q203" s="49">
        <f>$B$203*'Distributor Payments'!O$21</f>
        <v>33.624507533155814</v>
      </c>
      <c r="R203" s="49">
        <f>$B$203*'Distributor Payments'!P$21</f>
        <v>33.624507533155814</v>
      </c>
      <c r="S203" s="49">
        <f>$B$203*'Distributor Payments'!Q$21</f>
        <v>33.624507533155814</v>
      </c>
      <c r="T203" s="49">
        <f>$B$203*'Distributor Payments'!R$21</f>
        <v>33.624507533155814</v>
      </c>
      <c r="U203" s="49">
        <f>$B$203*'Distributor Payments'!S$21</f>
        <v>33.624507533155814</v>
      </c>
      <c r="V203" s="49">
        <f>$B$203*'Distributor Payments'!T$21</f>
        <v>33.624507533155814</v>
      </c>
      <c r="W203" s="49">
        <f>$B$203*'Distributor Payments'!U$21</f>
        <v>33.624507533155814</v>
      </c>
      <c r="X203" s="49">
        <f>$B$203*'Distributor Payments'!V$21</f>
        <v>8.2304408179553157</v>
      </c>
      <c r="Y203" s="7">
        <v>0</v>
      </c>
      <c r="Z203" s="7">
        <f>E203</f>
        <v>542.69000000000005</v>
      </c>
    </row>
    <row r="204" spans="1:26" customFormat="1" x14ac:dyDescent="0.35">
      <c r="A204" s="3" t="s">
        <v>227</v>
      </c>
      <c r="B204" s="6">
        <v>6.2312530156800007E-3</v>
      </c>
      <c r="C204" s="8" t="s">
        <v>227</v>
      </c>
      <c r="D204" s="33" t="s">
        <v>336</v>
      </c>
      <c r="E204" s="25">
        <v>44943.29</v>
      </c>
      <c r="F204" s="25">
        <v>48996.959999999999</v>
      </c>
      <c r="G204" s="28">
        <v>48996.959999999999</v>
      </c>
      <c r="H204" s="28">
        <v>104654.13</v>
      </c>
      <c r="I204" s="28">
        <v>46063.26</v>
      </c>
      <c r="J204" s="7">
        <f>$B204*'Distributor Payments'!H$21</f>
        <v>104654.12981772682</v>
      </c>
      <c r="K204" s="7">
        <f>$B204*'Distributor Payments'!I$21</f>
        <v>104654.12981672306</v>
      </c>
      <c r="L204" s="7">
        <f>$B204*'Distributor Payments'!J$21</f>
        <v>39873.223458207489</v>
      </c>
      <c r="M204" s="7">
        <f>$B204*'Distributor Payments'!K$21</f>
        <v>123085.86561365289</v>
      </c>
      <c r="N204" s="7">
        <f>$B204*'Distributor Payments'!L$21</f>
        <v>123085.86561365289</v>
      </c>
      <c r="O204" s="7">
        <f>$B204*'Distributor Payments'!M$21</f>
        <v>123085.86561365289</v>
      </c>
      <c r="P204" s="7">
        <f>$B204*'Distributor Payments'!N$21</f>
        <v>103466.09204521858</v>
      </c>
      <c r="Q204" s="7">
        <f>$B204*'Distributor Payments'!O$21</f>
        <v>103466.09204521858</v>
      </c>
      <c r="R204" s="7">
        <f>$B204*'Distributor Payments'!P$21</f>
        <v>103466.09204521858</v>
      </c>
      <c r="S204" s="7">
        <f>$B204*'Distributor Payments'!Q$21</f>
        <v>103466.09204521858</v>
      </c>
      <c r="T204" s="7">
        <f>$B204*'Distributor Payments'!R$21</f>
        <v>103466.09204521858</v>
      </c>
      <c r="U204" s="7">
        <f>$B204*'Distributor Payments'!S$21</f>
        <v>103466.09204521858</v>
      </c>
      <c r="V204" s="7">
        <f>$B204*'Distributor Payments'!T$21</f>
        <v>103466.09204521858</v>
      </c>
      <c r="W204" s="7">
        <f>$B204*'Distributor Payments'!U$21</f>
        <v>103466.09204521858</v>
      </c>
      <c r="X204" s="7">
        <f>B204*'Distributor Payments'!$V$21</f>
        <v>25325.918793118002</v>
      </c>
      <c r="Y204" s="7">
        <v>0</v>
      </c>
      <c r="Z204" s="7">
        <f t="shared" si="3"/>
        <v>1765148.3350884833</v>
      </c>
    </row>
    <row r="205" spans="1:26" customFormat="1" x14ac:dyDescent="0.35">
      <c r="A205" s="3" t="s">
        <v>228</v>
      </c>
      <c r="B205" s="6">
        <v>5.6487088447999996E-4</v>
      </c>
      <c r="C205" s="8" t="s">
        <v>228</v>
      </c>
      <c r="D205" s="33" t="s">
        <v>336</v>
      </c>
      <c r="E205" s="25">
        <v>4074.17</v>
      </c>
      <c r="F205" s="25">
        <v>4441.6400000000003</v>
      </c>
      <c r="G205" s="28">
        <v>4441.6400000000003</v>
      </c>
      <c r="H205" s="28">
        <v>9487.0300000000007</v>
      </c>
      <c r="I205" s="28">
        <v>4175.6899999999996</v>
      </c>
      <c r="J205" s="7">
        <f>$B205*'Distributor Payments'!H$21</f>
        <v>9487.0278459031415</v>
      </c>
      <c r="K205" s="7">
        <f>$B205*'Distributor Payments'!I$21</f>
        <v>9487.0278458121484</v>
      </c>
      <c r="L205" s="7">
        <f>$B205*'Distributor Payments'!J$21</f>
        <v>3614.5576090763898</v>
      </c>
      <c r="M205" s="7">
        <f>$B205*'Distributor Payments'!K$21</f>
        <v>11157.887763699346</v>
      </c>
      <c r="N205" s="7">
        <f>$B205*'Distributor Payments'!L$21</f>
        <v>11157.887763699346</v>
      </c>
      <c r="O205" s="7">
        <f>$B205*'Distributor Payments'!M$21</f>
        <v>11157.887763699346</v>
      </c>
      <c r="P205" s="7">
        <f>$B205*'Distributor Payments'!N$21</f>
        <v>9379.3307349587303</v>
      </c>
      <c r="Q205" s="7">
        <f>$B205*'Distributor Payments'!O$21</f>
        <v>9379.3307349587303</v>
      </c>
      <c r="R205" s="7">
        <f>$B205*'Distributor Payments'!P$21</f>
        <v>9379.3307349587303</v>
      </c>
      <c r="S205" s="7">
        <f>$B205*'Distributor Payments'!Q$21</f>
        <v>9379.3307349587303</v>
      </c>
      <c r="T205" s="7">
        <f>$B205*'Distributor Payments'!R$21</f>
        <v>9379.3307349587303</v>
      </c>
      <c r="U205" s="7">
        <f>$B205*'Distributor Payments'!S$21</f>
        <v>9379.3307349587303</v>
      </c>
      <c r="V205" s="7">
        <f>$B205*'Distributor Payments'!T$21</f>
        <v>9379.3307349587303</v>
      </c>
      <c r="W205" s="7">
        <f>$B205*'Distributor Payments'!U$21</f>
        <v>9379.3307349587303</v>
      </c>
      <c r="X205" s="7">
        <f>B205*'Distributor Payments'!$V$21</f>
        <v>2295.8262347779273</v>
      </c>
      <c r="Y205" s="7">
        <v>0</v>
      </c>
      <c r="Z205" s="7">
        <f t="shared" si="3"/>
        <v>160012.91870633746</v>
      </c>
    </row>
    <row r="206" spans="1:26" customFormat="1" x14ac:dyDescent="0.35">
      <c r="A206" s="3" t="s">
        <v>34</v>
      </c>
      <c r="B206" s="6">
        <v>2.7142646306708003E-4</v>
      </c>
      <c r="C206" s="8" t="s">
        <v>229</v>
      </c>
      <c r="D206" s="33" t="s">
        <v>336</v>
      </c>
      <c r="E206" s="25">
        <v>2017.89</v>
      </c>
      <c r="F206" s="29">
        <v>2199.9</v>
      </c>
      <c r="G206" s="28">
        <v>2199.9</v>
      </c>
      <c r="H206" s="28">
        <v>4558.62</v>
      </c>
      <c r="I206" s="28">
        <v>2006.46</v>
      </c>
      <c r="J206" s="7">
        <f>$B206*'Distributor Payments'!H$21</f>
        <v>4558.6177018184781</v>
      </c>
      <c r="K206" s="7">
        <f>$B206*'Distributor Payments'!I$21</f>
        <v>4558.6177017747559</v>
      </c>
      <c r="L206" s="7">
        <f>$B206*'Distributor Payments'!J$21</f>
        <v>1736.8333442906323</v>
      </c>
      <c r="M206" s="7">
        <f>$B206*'Distributor Payments'!K$21</f>
        <v>5361.4836491144988</v>
      </c>
      <c r="N206" s="7">
        <f>$B206*'Distributor Payments'!L$21</f>
        <v>5361.4836491144988</v>
      </c>
      <c r="O206" s="7">
        <f>$B206*'Distributor Payments'!M$21</f>
        <v>5361.4836491144988</v>
      </c>
      <c r="P206" s="7">
        <f>$B206*'Distributor Payments'!N$21</f>
        <v>4506.8680954759711</v>
      </c>
      <c r="Q206" s="7">
        <f>$B206*'Distributor Payments'!O$21</f>
        <v>4506.8680954759711</v>
      </c>
      <c r="R206" s="7">
        <f>$B206*'Distributor Payments'!P$21</f>
        <v>4506.8680954759711</v>
      </c>
      <c r="S206" s="7">
        <f>$B206*'Distributor Payments'!Q$21</f>
        <v>4506.8680954759711</v>
      </c>
      <c r="T206" s="7">
        <f>$B206*'Distributor Payments'!R$21</f>
        <v>4506.8680954759711</v>
      </c>
      <c r="U206" s="7">
        <f>$B206*'Distributor Payments'!S$21</f>
        <v>4506.8680954759711</v>
      </c>
      <c r="V206" s="7">
        <f>$B206*'Distributor Payments'!T$21</f>
        <v>4506.8680954759711</v>
      </c>
      <c r="W206" s="7">
        <f>$B206*'Distributor Payments'!U$21</f>
        <v>4506.8680954759711</v>
      </c>
      <c r="X206" s="7">
        <f>B206*'Distributor Payments'!$V$21</f>
        <v>1103.1689043347178</v>
      </c>
      <c r="Y206" s="7">
        <v>0</v>
      </c>
      <c r="Z206" s="7">
        <f t="shared" si="3"/>
        <v>77079.403363369842</v>
      </c>
    </row>
    <row r="207" spans="1:26" customFormat="1" x14ac:dyDescent="0.35">
      <c r="A207" s="3" t="s">
        <v>230</v>
      </c>
      <c r="B207" s="6">
        <v>2.1551218640000003E-3</v>
      </c>
      <c r="C207" s="8" t="s">
        <v>230</v>
      </c>
      <c r="D207" s="33" t="s">
        <v>336</v>
      </c>
      <c r="E207" s="25">
        <v>15543.95</v>
      </c>
      <c r="F207" s="25">
        <v>16945.939999999999</v>
      </c>
      <c r="G207" s="28">
        <v>16945.939999999999</v>
      </c>
      <c r="H207" s="28">
        <v>36195.35</v>
      </c>
      <c r="I207" s="28">
        <v>15931.3</v>
      </c>
      <c r="J207" s="7">
        <f>$B207*'Distributor Payments'!H$21</f>
        <v>36195.35312729788</v>
      </c>
      <c r="K207" s="7">
        <f>$B207*'Distributor Payments'!I$21</f>
        <v>36195.353126950715</v>
      </c>
      <c r="L207" s="7">
        <f>$B207*'Distributor Payments'!J$21</f>
        <v>13790.429540688961</v>
      </c>
      <c r="M207" s="7">
        <f>$B207*'Distributor Payments'!K$21</f>
        <v>42570.096169398035</v>
      </c>
      <c r="N207" s="7">
        <f>$B207*'Distributor Payments'!L$21</f>
        <v>42570.096169398035</v>
      </c>
      <c r="O207" s="7">
        <f>$B207*'Distributor Payments'!M$21</f>
        <v>42570.096169398035</v>
      </c>
      <c r="P207" s="7">
        <f>$B207*'Distributor Payments'!N$21</f>
        <v>35784.462063759362</v>
      </c>
      <c r="Q207" s="7">
        <f>$B207*'Distributor Payments'!O$21</f>
        <v>35784.462063759362</v>
      </c>
      <c r="R207" s="7">
        <f>$B207*'Distributor Payments'!P$21</f>
        <v>35784.462063759362</v>
      </c>
      <c r="S207" s="7">
        <f>$B207*'Distributor Payments'!Q$21</f>
        <v>35784.462063759362</v>
      </c>
      <c r="T207" s="7">
        <f>$B207*'Distributor Payments'!R$21</f>
        <v>35784.462063759362</v>
      </c>
      <c r="U207" s="7">
        <f>$B207*'Distributor Payments'!S$21</f>
        <v>35784.462063759362</v>
      </c>
      <c r="V207" s="7">
        <f>$B207*'Distributor Payments'!T$21</f>
        <v>35784.462063759362</v>
      </c>
      <c r="W207" s="7">
        <f>$B207*'Distributor Payments'!U$21</f>
        <v>35784.462063759362</v>
      </c>
      <c r="X207" s="7">
        <f>B207*'Distributor Payments'!$V$21</f>
        <v>8759.1438157933444</v>
      </c>
      <c r="Y207" s="7">
        <v>0</v>
      </c>
      <c r="Z207" s="7">
        <f t="shared" si="3"/>
        <v>610488.74462899973</v>
      </c>
    </row>
    <row r="208" spans="1:26" customFormat="1" x14ac:dyDescent="0.35">
      <c r="A208" s="3" t="s">
        <v>231</v>
      </c>
      <c r="B208" s="6">
        <v>5.4983679070649914E-4</v>
      </c>
      <c r="C208" s="8" t="s">
        <v>231</v>
      </c>
      <c r="D208" s="33" t="s">
        <v>336</v>
      </c>
      <c r="E208" s="25">
        <v>4087.71</v>
      </c>
      <c r="F208" s="25">
        <v>4456.3999999999996</v>
      </c>
      <c r="G208" s="28">
        <v>4456.3999999999996</v>
      </c>
      <c r="H208" s="28">
        <v>9234.5300000000007</v>
      </c>
      <c r="I208" s="28">
        <v>4064.56</v>
      </c>
      <c r="J208" s="7">
        <f>$B208*'Distributor Payments'!H$21</f>
        <v>9234.5296729827569</v>
      </c>
      <c r="K208" s="7">
        <f>$B208*'Distributor Payments'!I$21</f>
        <v>9234.5296728941867</v>
      </c>
      <c r="L208" s="7">
        <f>$B208*'Distributor Payments'!J$21</f>
        <v>3518.3558051993846</v>
      </c>
      <c r="M208" s="7">
        <f>$B208*'Distributor Payments'!K$21</f>
        <v>10860.919490838058</v>
      </c>
      <c r="N208" s="7">
        <f>$B208*'Distributor Payments'!L$21</f>
        <v>10860.919490838058</v>
      </c>
      <c r="O208" s="7">
        <f>$B208*'Distributor Payments'!M$21</f>
        <v>10860.919490838058</v>
      </c>
      <c r="P208" s="7">
        <f>$B208*'Distributor Payments'!N$21</f>
        <v>9129.6989311672205</v>
      </c>
      <c r="Q208" s="7">
        <f>$B208*'Distributor Payments'!O$21</f>
        <v>9129.6989311672205</v>
      </c>
      <c r="R208" s="7">
        <f>$B208*'Distributor Payments'!P$21</f>
        <v>9129.6989311672205</v>
      </c>
      <c r="S208" s="7">
        <f>$B208*'Distributor Payments'!Q$21</f>
        <v>9129.6989311672205</v>
      </c>
      <c r="T208" s="7">
        <f>$B208*'Distributor Payments'!R$21</f>
        <v>9129.6989311672205</v>
      </c>
      <c r="U208" s="7">
        <f>$B208*'Distributor Payments'!S$21</f>
        <v>9129.6989311672205</v>
      </c>
      <c r="V208" s="7">
        <f>$B208*'Distributor Payments'!T$21</f>
        <v>9129.6989311672205</v>
      </c>
      <c r="W208" s="7">
        <f>$B208*'Distributor Payments'!U$21</f>
        <v>9129.6989311672205</v>
      </c>
      <c r="X208" s="7">
        <f>B208*'Distributor Payments'!$V$21</f>
        <v>2234.7225952566787</v>
      </c>
      <c r="Y208" s="7">
        <v>0</v>
      </c>
      <c r="Z208" s="7">
        <f t="shared" si="3"/>
        <v>156142.08766818495</v>
      </c>
    </row>
    <row r="209" spans="1:26" customFormat="1" x14ac:dyDescent="0.35">
      <c r="A209" s="3" t="s">
        <v>83</v>
      </c>
      <c r="B209" s="6">
        <v>6.9668831392582191E-5</v>
      </c>
      <c r="C209" s="8" t="s">
        <v>232</v>
      </c>
      <c r="D209" s="33" t="s">
        <v>336</v>
      </c>
      <c r="E209" s="25">
        <v>517.95000000000005</v>
      </c>
      <c r="F209" s="29">
        <v>564.66</v>
      </c>
      <c r="G209" s="28">
        <v>564.66</v>
      </c>
      <c r="H209" s="28">
        <v>1170.0899999999999</v>
      </c>
      <c r="I209" s="28">
        <v>515.01</v>
      </c>
      <c r="J209" s="7">
        <f>$B209*'Distributor Payments'!H$21</f>
        <v>1170.09065535641</v>
      </c>
      <c r="K209" s="7">
        <f>$B209*'Distributor Payments'!I$21</f>
        <v>1170.0906553451873</v>
      </c>
      <c r="L209" s="7">
        <f>$B209*'Distributor Payments'!J$21</f>
        <v>445.80453966455781</v>
      </c>
      <c r="M209" s="7">
        <f>$B209*'Distributor Payments'!K$21</f>
        <v>1376.1675856636386</v>
      </c>
      <c r="N209" s="7">
        <f>$B209*'Distributor Payments'!L$21</f>
        <v>1376.1675856636386</v>
      </c>
      <c r="O209" s="7">
        <f>$B209*'Distributor Payments'!M$21</f>
        <v>1376.1675856636386</v>
      </c>
      <c r="P209" s="7">
        <f>$B209*'Distributor Payments'!N$21</f>
        <v>1156.8077404992184</v>
      </c>
      <c r="Q209" s="7">
        <f>$B209*'Distributor Payments'!O$21</f>
        <v>1156.8077404992184</v>
      </c>
      <c r="R209" s="7">
        <f>$B209*'Distributor Payments'!P$21</f>
        <v>1156.8077404992184</v>
      </c>
      <c r="S209" s="7">
        <f>$B209*'Distributor Payments'!Q$21</f>
        <v>1156.8077404992184</v>
      </c>
      <c r="T209" s="7">
        <f>$B209*'Distributor Payments'!R$21</f>
        <v>1156.8077404992184</v>
      </c>
      <c r="U209" s="7">
        <f>$B209*'Distributor Payments'!S$21</f>
        <v>1156.8077404992184</v>
      </c>
      <c r="V209" s="7">
        <f>$B209*'Distributor Payments'!T$21</f>
        <v>1156.8077404992184</v>
      </c>
      <c r="W209" s="7">
        <f>$B209*'Distributor Payments'!U$21</f>
        <v>1156.8077404992184</v>
      </c>
      <c r="X209" s="7">
        <f>B209*'Distributor Payments'!$V$21</f>
        <v>283.15768302459463</v>
      </c>
      <c r="Y209" s="7">
        <v>0</v>
      </c>
      <c r="Z209" s="7">
        <f t="shared" si="3"/>
        <v>19784.478214375413</v>
      </c>
    </row>
    <row r="210" spans="1:26" customFormat="1" x14ac:dyDescent="0.35">
      <c r="A210" s="3" t="s">
        <v>233</v>
      </c>
      <c r="B210" s="6">
        <v>3.1792059880000004E-3</v>
      </c>
      <c r="C210" s="8" t="s">
        <v>233</v>
      </c>
      <c r="D210" s="33" t="s">
        <v>336</v>
      </c>
      <c r="E210" s="25">
        <v>22930.22</v>
      </c>
      <c r="F210" s="25">
        <v>24998.41</v>
      </c>
      <c r="G210" s="28">
        <v>24998.41</v>
      </c>
      <c r="H210" s="28">
        <v>53394.879999999997</v>
      </c>
      <c r="I210" s="28">
        <v>23501.63</v>
      </c>
      <c r="J210" s="7">
        <f>$B210*'Distributor Payments'!H$21</f>
        <v>53394.884680210329</v>
      </c>
      <c r="K210" s="7">
        <f>$B210*'Distributor Payments'!I$21</f>
        <v>53394.884679698211</v>
      </c>
      <c r="L210" s="7">
        <f>$B210*'Distributor Payments'!J$21</f>
        <v>20343.45106196298</v>
      </c>
      <c r="M210" s="7">
        <f>$B210*'Distributor Payments'!K$21</f>
        <v>62798.817511085348</v>
      </c>
      <c r="N210" s="7">
        <f>$B210*'Distributor Payments'!L$21</f>
        <v>62798.817511085348</v>
      </c>
      <c r="O210" s="7">
        <f>$B210*'Distributor Payments'!M$21</f>
        <v>62798.817511085348</v>
      </c>
      <c r="P210" s="7">
        <f>$B210*'Distributor Payments'!N$21</f>
        <v>52788.743862171956</v>
      </c>
      <c r="Q210" s="7">
        <f>$B210*'Distributor Payments'!O$21</f>
        <v>52788.743862171956</v>
      </c>
      <c r="R210" s="7">
        <f>$B210*'Distributor Payments'!P$21</f>
        <v>52788.743862171956</v>
      </c>
      <c r="S210" s="7">
        <f>$B210*'Distributor Payments'!Q$21</f>
        <v>52788.743862171956</v>
      </c>
      <c r="T210" s="7">
        <f>$B210*'Distributor Payments'!R$21</f>
        <v>52788.743862171956</v>
      </c>
      <c r="U210" s="7">
        <f>$B210*'Distributor Payments'!S$21</f>
        <v>52788.743862171956</v>
      </c>
      <c r="V210" s="7">
        <f>$B210*'Distributor Payments'!T$21</f>
        <v>52788.743862171956</v>
      </c>
      <c r="W210" s="7">
        <f>$B210*'Distributor Payments'!U$21</f>
        <v>52788.743862171956</v>
      </c>
      <c r="X210" s="7">
        <f>B210*'Distributor Payments'!$V$21</f>
        <v>12921.367897608305</v>
      </c>
      <c r="Y210" s="7">
        <v>0</v>
      </c>
      <c r="Z210" s="7">
        <f t="shared" si="3"/>
        <v>900584.54175011185</v>
      </c>
    </row>
    <row r="211" spans="1:26" customFormat="1" x14ac:dyDescent="0.35">
      <c r="A211" s="3" t="s">
        <v>24</v>
      </c>
      <c r="B211" s="6">
        <v>8.3058265152320399E-3</v>
      </c>
      <c r="C211" s="8" t="s">
        <v>24</v>
      </c>
      <c r="D211" s="33" t="s">
        <v>336</v>
      </c>
      <c r="E211" s="25">
        <v>61748.9</v>
      </c>
      <c r="F211" s="25">
        <v>67671.41</v>
      </c>
      <c r="G211" s="28">
        <v>67671.41</v>
      </c>
      <c r="H211" s="28">
        <v>140228.29</v>
      </c>
      <c r="I211" s="28">
        <v>61721.14</v>
      </c>
      <c r="J211" s="7">
        <f>$B211*'Distributor Payments'!H$21</f>
        <v>139496.67012096982</v>
      </c>
      <c r="K211" s="7">
        <f>$B211*'Distributor Payments'!I$21</f>
        <v>139496.67011963189</v>
      </c>
      <c r="L211" s="7">
        <f>$B211*'Distributor Payments'!J$21</f>
        <v>53148.231312961878</v>
      </c>
      <c r="M211" s="7">
        <f>$B211*'Distributor Payments'!K$21</f>
        <v>164064.89091224963</v>
      </c>
      <c r="N211" s="7">
        <f>$B211*'Distributor Payments'!L$21</f>
        <v>164064.89091224963</v>
      </c>
      <c r="O211" s="7">
        <f>$B211*'Distributor Payments'!M$21</f>
        <v>164064.89091224963</v>
      </c>
      <c r="P211" s="7">
        <f>$B211*'Distributor Payments'!N$21</f>
        <v>137913.09846898174</v>
      </c>
      <c r="Q211" s="7">
        <f>$B211*'Distributor Payments'!O$21</f>
        <v>137913.09846898174</v>
      </c>
      <c r="R211" s="7">
        <f>$B211*'Distributor Payments'!P$21</f>
        <v>137913.09846898174</v>
      </c>
      <c r="S211" s="7">
        <f>$B211*'Distributor Payments'!Q$21</f>
        <v>137913.09846898174</v>
      </c>
      <c r="T211" s="7">
        <f>$B211*'Distributor Payments'!R$21</f>
        <v>137913.09846898174</v>
      </c>
      <c r="U211" s="7">
        <f>$B211*'Distributor Payments'!S$21</f>
        <v>137913.09846898174</v>
      </c>
      <c r="V211" s="7">
        <f>$B211*'Distributor Payments'!T$21</f>
        <v>137913.09846898174</v>
      </c>
      <c r="W211" s="7">
        <f>$B211*'Distributor Payments'!U$21</f>
        <v>137913.09846898174</v>
      </c>
      <c r="X211" s="7">
        <f>B211*'Distributor Payments'!$V$21</f>
        <v>33757.68682561475</v>
      </c>
      <c r="Y211" s="7">
        <v>0</v>
      </c>
      <c r="Z211" s="7">
        <f t="shared" si="3"/>
        <v>2360439.868867781</v>
      </c>
    </row>
    <row r="212" spans="1:26" customFormat="1" x14ac:dyDescent="0.35">
      <c r="A212" s="3" t="s">
        <v>234</v>
      </c>
      <c r="B212" s="6">
        <v>3.3627034874504663E-4</v>
      </c>
      <c r="C212" s="8" t="s">
        <v>235</v>
      </c>
      <c r="D212" s="33" t="s">
        <v>336</v>
      </c>
      <c r="E212" s="25">
        <v>2499.9699999999998</v>
      </c>
      <c r="F212" s="25">
        <v>2725.46</v>
      </c>
      <c r="G212" s="28">
        <v>2725.46</v>
      </c>
      <c r="H212" s="28">
        <v>5647.67</v>
      </c>
      <c r="I212" s="28">
        <v>2485.81</v>
      </c>
      <c r="J212" s="7">
        <f>$B212*'Distributor Payments'!H$21</f>
        <v>5647.6732116094245</v>
      </c>
      <c r="K212" s="7">
        <f>$B212*'Distributor Payments'!I$21</f>
        <v>5647.6732115552559</v>
      </c>
      <c r="L212" s="7">
        <f>$B212*'Distributor Payments'!J$21</f>
        <v>2151.7634934965654</v>
      </c>
      <c r="M212" s="7">
        <f>$B212*'Distributor Payments'!K$21</f>
        <v>6642.3441403096676</v>
      </c>
      <c r="N212" s="7">
        <f>$B212*'Distributor Payments'!L$21</f>
        <v>6642.3441403096676</v>
      </c>
      <c r="O212" s="7">
        <f>$B212*'Distributor Payments'!M$21</f>
        <v>6642.3441403096676</v>
      </c>
      <c r="P212" s="7">
        <f>$B212*'Distributor Payments'!N$21</f>
        <v>5583.5606045497616</v>
      </c>
      <c r="Q212" s="7">
        <f>$B212*'Distributor Payments'!O$21</f>
        <v>5583.5606045497616</v>
      </c>
      <c r="R212" s="7">
        <f>$B212*'Distributor Payments'!P$21</f>
        <v>5583.5606045497616</v>
      </c>
      <c r="S212" s="7">
        <f>$B212*'Distributor Payments'!Q$21</f>
        <v>5583.5606045497616</v>
      </c>
      <c r="T212" s="7">
        <f>$B212*'Distributor Payments'!R$21</f>
        <v>5583.5606045497616</v>
      </c>
      <c r="U212" s="7">
        <f>$B212*'Distributor Payments'!S$21</f>
        <v>5583.5606045497616</v>
      </c>
      <c r="V212" s="7">
        <f>$B212*'Distributor Payments'!T$21</f>
        <v>5583.5606045497616</v>
      </c>
      <c r="W212" s="7">
        <f>$B212*'Distributor Payments'!U$21</f>
        <v>5583.5606045497616</v>
      </c>
      <c r="X212" s="7">
        <f>B212*'Distributor Payments'!$V$21</f>
        <v>1366.7163768539663</v>
      </c>
      <c r="Y212" s="7">
        <v>0</v>
      </c>
      <c r="Z212" s="7">
        <f t="shared" si="3"/>
        <v>95493.713550842265</v>
      </c>
    </row>
    <row r="213" spans="1:26" customFormat="1" x14ac:dyDescent="0.35">
      <c r="A213" s="3" t="s">
        <v>34</v>
      </c>
      <c r="B213" s="6">
        <v>1.2358345544842957E-4</v>
      </c>
      <c r="C213" s="8" t="s">
        <v>236</v>
      </c>
      <c r="D213" s="33" t="s">
        <v>336</v>
      </c>
      <c r="E213" s="25">
        <v>918.77</v>
      </c>
      <c r="F213" s="29">
        <v>1001.64</v>
      </c>
      <c r="G213" s="28">
        <v>1001.64</v>
      </c>
      <c r="H213" s="28">
        <v>2075.59</v>
      </c>
      <c r="I213" s="28">
        <v>913.57</v>
      </c>
      <c r="J213" s="7">
        <f>$B213*'Distributor Payments'!H$21</f>
        <v>2075.5888032917251</v>
      </c>
      <c r="K213" s="7">
        <f>$B213*'Distributor Payments'!I$21</f>
        <v>2075.5888032718176</v>
      </c>
      <c r="L213" s="7">
        <f>$B213*'Distributor Payments'!J$21</f>
        <v>790.79933400761092</v>
      </c>
      <c r="M213" s="7">
        <f>$B213*'Distributor Payments'!K$21</f>
        <v>2441.1425039424889</v>
      </c>
      <c r="N213" s="7">
        <f>$B213*'Distributor Payments'!L$21</f>
        <v>2441.1425039424889</v>
      </c>
      <c r="O213" s="7">
        <f>$B213*'Distributor Payments'!M$21</f>
        <v>2441.1425039424889</v>
      </c>
      <c r="P213" s="7">
        <f>$B213*'Distributor Payments'!N$21</f>
        <v>2052.0266380642233</v>
      </c>
      <c r="Q213" s="7">
        <f>$B213*'Distributor Payments'!O$21</f>
        <v>2052.0266380642233</v>
      </c>
      <c r="R213" s="7">
        <f>$B213*'Distributor Payments'!P$21</f>
        <v>2052.0266380642233</v>
      </c>
      <c r="S213" s="7">
        <f>$B213*'Distributor Payments'!Q$21</f>
        <v>2052.0266380642233</v>
      </c>
      <c r="T213" s="7">
        <f>$B213*'Distributor Payments'!R$21</f>
        <v>2052.0266380642233</v>
      </c>
      <c r="U213" s="7">
        <f>$B213*'Distributor Payments'!S$21</f>
        <v>2052.0266380642233</v>
      </c>
      <c r="V213" s="7">
        <f>$B213*'Distributor Payments'!T$21</f>
        <v>2052.0266380642233</v>
      </c>
      <c r="W213" s="7">
        <f>$B213*'Distributor Payments'!U$21</f>
        <v>2052.0266380642233</v>
      </c>
      <c r="X213" s="7">
        <f>B213*'Distributor Payments'!$V$21</f>
        <v>502.28494156536664</v>
      </c>
      <c r="Y213" s="7">
        <v>0</v>
      </c>
      <c r="Z213" s="7">
        <f t="shared" si="3"/>
        <v>35095.112498477778</v>
      </c>
    </row>
    <row r="214" spans="1:26" customFormat="1" x14ac:dyDescent="0.35">
      <c r="A214" s="3" t="s">
        <v>24</v>
      </c>
      <c r="B214" s="6">
        <v>3.8875457295908791E-5</v>
      </c>
      <c r="C214" s="8" t="s">
        <v>237</v>
      </c>
      <c r="D214" s="33" t="s">
        <v>336</v>
      </c>
      <c r="E214" s="25">
        <v>289.02</v>
      </c>
      <c r="F214" s="25">
        <v>315.08</v>
      </c>
      <c r="G214" s="28">
        <v>315.08</v>
      </c>
      <c r="H214" s="28">
        <v>652.91</v>
      </c>
      <c r="I214" s="28">
        <v>287.38</v>
      </c>
      <c r="J214" s="7">
        <f>$B214*'Distributor Payments'!H$21</f>
        <v>652.91477401604936</v>
      </c>
      <c r="K214" s="7">
        <f>$B214*'Distributor Payments'!I$21</f>
        <v>652.91477400978715</v>
      </c>
      <c r="L214" s="7">
        <f>$B214*'Distributor Payments'!J$21</f>
        <v>248.76052888547594</v>
      </c>
      <c r="M214" s="7">
        <f>$B214*'Distributor Payments'!K$21</f>
        <v>767.90643877768366</v>
      </c>
      <c r="N214" s="7">
        <f>$B214*'Distributor Payments'!L$21</f>
        <v>767.90643877768366</v>
      </c>
      <c r="O214" s="7">
        <f>$B214*'Distributor Payments'!M$21</f>
        <v>767.90643877768366</v>
      </c>
      <c r="P214" s="7">
        <f>$B214*'Distributor Payments'!N$21</f>
        <v>645.50285997968274</v>
      </c>
      <c r="Q214" s="7">
        <f>$B214*'Distributor Payments'!O$21</f>
        <v>645.50285997968274</v>
      </c>
      <c r="R214" s="7">
        <f>$B214*'Distributor Payments'!P$21</f>
        <v>645.50285997968274</v>
      </c>
      <c r="S214" s="7">
        <f>$B214*'Distributor Payments'!Q$21</f>
        <v>645.50285997968274</v>
      </c>
      <c r="T214" s="7">
        <f>$B214*'Distributor Payments'!R$21</f>
        <v>645.50285997968274</v>
      </c>
      <c r="U214" s="7">
        <f>$B214*'Distributor Payments'!S$21</f>
        <v>645.50285997968274</v>
      </c>
      <c r="V214" s="7">
        <f>$B214*'Distributor Payments'!T$21</f>
        <v>645.50285997968274</v>
      </c>
      <c r="W214" s="7">
        <f>$B214*'Distributor Payments'!U$21</f>
        <v>645.50285997968274</v>
      </c>
      <c r="X214" s="7">
        <f>B214*'Distributor Payments'!$V$21</f>
        <v>158.0030006876668</v>
      </c>
      <c r="Y214" s="7">
        <v>0</v>
      </c>
      <c r="Z214" s="7">
        <f t="shared" si="3"/>
        <v>11039.805273769489</v>
      </c>
    </row>
    <row r="215" spans="1:26" customFormat="1" x14ac:dyDescent="0.35">
      <c r="A215" s="3" t="s">
        <v>28</v>
      </c>
      <c r="B215" s="6">
        <v>2.7464821740000002E-4</v>
      </c>
      <c r="C215" s="8" t="s">
        <v>238</v>
      </c>
      <c r="D215" s="33" t="s">
        <v>336</v>
      </c>
      <c r="E215" s="25">
        <v>1980.92</v>
      </c>
      <c r="F215" s="29">
        <v>2159.59</v>
      </c>
      <c r="G215" s="28">
        <v>2159.59</v>
      </c>
      <c r="H215" s="28">
        <v>4612.7299999999996</v>
      </c>
      <c r="I215" s="28">
        <v>2030.28</v>
      </c>
      <c r="J215" s="7">
        <f>$B215*'Distributor Payments'!H$21</f>
        <v>4612.7271875591141</v>
      </c>
      <c r="K215" s="7">
        <f>$B215*'Distributor Payments'!I$21</f>
        <v>4612.7271875148726</v>
      </c>
      <c r="L215" s="7">
        <f>$B215*'Distributor Payments'!J$21</f>
        <v>1757.4490583566017</v>
      </c>
      <c r="M215" s="7">
        <f>$B215*'Distributor Payments'!K$21</f>
        <v>5425.1229235692717</v>
      </c>
      <c r="N215" s="7">
        <f>$B215*'Distributor Payments'!L$21</f>
        <v>5425.1229235692717</v>
      </c>
      <c r="O215" s="7">
        <f>$B215*'Distributor Payments'!M$21</f>
        <v>5425.1229235692717</v>
      </c>
      <c r="P215" s="7">
        <f>$B215*'Distributor Payments'!N$21</f>
        <v>4560.3633282193978</v>
      </c>
      <c r="Q215" s="7">
        <f>$B215*'Distributor Payments'!O$21</f>
        <v>4560.3633282193978</v>
      </c>
      <c r="R215" s="7">
        <f>$B215*'Distributor Payments'!P$21</f>
        <v>4560.3633282193978</v>
      </c>
      <c r="S215" s="7">
        <f>$B215*'Distributor Payments'!Q$21</f>
        <v>4560.3633282193978</v>
      </c>
      <c r="T215" s="7">
        <f>$B215*'Distributor Payments'!R$21</f>
        <v>4560.3633282193978</v>
      </c>
      <c r="U215" s="7">
        <f>$B215*'Distributor Payments'!S$21</f>
        <v>4560.3633282193978</v>
      </c>
      <c r="V215" s="7">
        <f>$B215*'Distributor Payments'!T$21</f>
        <v>4560.3633282193978</v>
      </c>
      <c r="W215" s="7">
        <f>$B215*'Distributor Payments'!U$21</f>
        <v>4560.3633282193978</v>
      </c>
      <c r="X215" s="7">
        <f>B215*'Distributor Payments'!$V$21</f>
        <v>1116.2632030899745</v>
      </c>
      <c r="Y215" s="7">
        <v>0</v>
      </c>
      <c r="Z215" s="7">
        <f t="shared" si="3"/>
        <v>77800.552032983542</v>
      </c>
    </row>
    <row r="216" spans="1:26" customFormat="1" x14ac:dyDescent="0.35">
      <c r="A216" s="3" t="s">
        <v>14</v>
      </c>
      <c r="B216" s="6">
        <v>8.2472855123022826E-5</v>
      </c>
      <c r="C216" s="8" t="s">
        <v>239</v>
      </c>
      <c r="D216" s="33" t="s">
        <v>336</v>
      </c>
      <c r="E216" s="25">
        <v>613.14</v>
      </c>
      <c r="F216" s="29">
        <v>668.44</v>
      </c>
      <c r="G216" s="28">
        <v>668.44</v>
      </c>
      <c r="H216" s="28">
        <v>1385.13</v>
      </c>
      <c r="I216" s="28">
        <v>609.66</v>
      </c>
      <c r="J216" s="7">
        <f>$B216*'Distributor Payments'!H$21</f>
        <v>1385.1347176506065</v>
      </c>
      <c r="K216" s="7">
        <f>$B216*'Distributor Payments'!I$21</f>
        <v>1385.1347176373213</v>
      </c>
      <c r="L216" s="7">
        <f>$B216*'Distributor Payments'!J$21</f>
        <v>527.73632739382515</v>
      </c>
      <c r="M216" s="7">
        <f>$B216*'Distributor Payments'!K$21</f>
        <v>1629.0853118791026</v>
      </c>
      <c r="N216" s="7">
        <f>$B216*'Distributor Payments'!L$21</f>
        <v>1629.0853118791026</v>
      </c>
      <c r="O216" s="7">
        <f>$B216*'Distributor Payments'!M$21</f>
        <v>1629.0853118791026</v>
      </c>
      <c r="P216" s="7">
        <f>$B216*'Distributor Payments'!N$21</f>
        <v>1369.4106141924101</v>
      </c>
      <c r="Q216" s="7">
        <f>$B216*'Distributor Payments'!O$21</f>
        <v>1369.4106141924101</v>
      </c>
      <c r="R216" s="7">
        <f>$B216*'Distributor Payments'!P$21</f>
        <v>1369.4106141924101</v>
      </c>
      <c r="S216" s="7">
        <f>$B216*'Distributor Payments'!Q$21</f>
        <v>1369.4106141924101</v>
      </c>
      <c r="T216" s="7">
        <f>$B216*'Distributor Payments'!R$21</f>
        <v>1369.4106141924101</v>
      </c>
      <c r="U216" s="7">
        <f>$B216*'Distributor Payments'!S$21</f>
        <v>1369.4106141924101</v>
      </c>
      <c r="V216" s="7">
        <f>$B216*'Distributor Payments'!T$21</f>
        <v>1369.4106141924101</v>
      </c>
      <c r="W216" s="7">
        <f>$B216*'Distributor Payments'!U$21</f>
        <v>1369.4106141924101</v>
      </c>
      <c r="X216" s="7">
        <f>B216*'Distributor Payments'!$V$21</f>
        <v>335.19756399336768</v>
      </c>
      <c r="Y216" s="7">
        <v>0</v>
      </c>
      <c r="Z216" s="7">
        <f t="shared" si="3"/>
        <v>23420.554175851703</v>
      </c>
    </row>
    <row r="217" spans="1:26" customFormat="1" x14ac:dyDescent="0.35">
      <c r="A217" s="3" t="s">
        <v>22</v>
      </c>
      <c r="B217" s="6">
        <v>3.4671875633989825E-4</v>
      </c>
      <c r="C217" s="8" t="s">
        <v>240</v>
      </c>
      <c r="D217" s="33" t="s">
        <v>336</v>
      </c>
      <c r="E217" s="25">
        <v>2577.65</v>
      </c>
      <c r="F217" s="29">
        <v>2810.14</v>
      </c>
      <c r="G217" s="28">
        <v>2810.14</v>
      </c>
      <c r="H217" s="28">
        <v>5823.15</v>
      </c>
      <c r="I217" s="28">
        <v>2563.0500000000002</v>
      </c>
      <c r="J217" s="7">
        <f>$B217*'Distributor Payments'!H$21</f>
        <v>5823.1546119102268</v>
      </c>
      <c r="K217" s="7">
        <f>$B217*'Distributor Payments'!I$21</f>
        <v>5823.1546118543756</v>
      </c>
      <c r="L217" s="7">
        <f>$B217*'Distributor Payments'!J$21</f>
        <v>2218.6219070072366</v>
      </c>
      <c r="M217" s="7">
        <f>$B217*'Distributor Payments'!K$21</f>
        <v>6848.731409428804</v>
      </c>
      <c r="N217" s="7">
        <f>$B217*'Distributor Payments'!L$21</f>
        <v>6848.731409428804</v>
      </c>
      <c r="O217" s="7">
        <f>$B217*'Distributor Payments'!M$21</f>
        <v>6848.731409428804</v>
      </c>
      <c r="P217" s="7">
        <f>$B217*'Distributor Payments'!N$21</f>
        <v>5757.0499331349702</v>
      </c>
      <c r="Q217" s="7">
        <f>$B217*'Distributor Payments'!O$21</f>
        <v>5757.0499331349702</v>
      </c>
      <c r="R217" s="7">
        <f>$B217*'Distributor Payments'!P$21</f>
        <v>5757.0499331349702</v>
      </c>
      <c r="S217" s="7">
        <f>$B217*'Distributor Payments'!Q$21</f>
        <v>5757.0499331349702</v>
      </c>
      <c r="T217" s="7">
        <f>$B217*'Distributor Payments'!R$21</f>
        <v>5757.0499331349702</v>
      </c>
      <c r="U217" s="7">
        <f>$B217*'Distributor Payments'!S$21</f>
        <v>5757.0499331349702</v>
      </c>
      <c r="V217" s="7">
        <f>$B217*'Distributor Payments'!T$21</f>
        <v>5757.0499331349702</v>
      </c>
      <c r="W217" s="7">
        <f>$B217*'Distributor Payments'!U$21</f>
        <v>5757.0499331349702</v>
      </c>
      <c r="X217" s="7">
        <f>B217*'Distributor Payments'!$V$21</f>
        <v>1409.1822375081147</v>
      </c>
      <c r="Y217" s="7">
        <v>0</v>
      </c>
      <c r="Z217" s="7">
        <f t="shared" si="3"/>
        <v>98460.837061646118</v>
      </c>
    </row>
    <row r="218" spans="1:26" customFormat="1" x14ac:dyDescent="0.35">
      <c r="A218" s="3" t="s">
        <v>34</v>
      </c>
      <c r="B218" s="6">
        <v>3.2484999272399998E-3</v>
      </c>
      <c r="C218" s="8" t="s">
        <v>241</v>
      </c>
      <c r="D218" s="33" t="s">
        <v>336</v>
      </c>
      <c r="E218" s="25">
        <v>23430</v>
      </c>
      <c r="F218" s="25">
        <v>25543.279999999999</v>
      </c>
      <c r="G218" s="28">
        <v>25543.279999999999</v>
      </c>
      <c r="H218" s="28">
        <v>54558.68</v>
      </c>
      <c r="I218" s="28">
        <v>24013.87</v>
      </c>
      <c r="J218" s="7">
        <f>$B218*'Distributor Payments'!H$21</f>
        <v>54558.679007700528</v>
      </c>
      <c r="K218" s="7">
        <f>$B218*'Distributor Payments'!I$21</f>
        <v>54558.679007177241</v>
      </c>
      <c r="L218" s="7">
        <f>$B218*'Distributor Payments'!J$21</f>
        <v>20786.85670071065</v>
      </c>
      <c r="M218" s="7">
        <f>$B218*'Distributor Payments'!K$21</f>
        <v>64167.579856583601</v>
      </c>
      <c r="N218" s="7">
        <f>$B218*'Distributor Payments'!L$21</f>
        <v>64167.579856583601</v>
      </c>
      <c r="O218" s="7">
        <f>$B218*'Distributor Payments'!M$21</f>
        <v>64167.579856583601</v>
      </c>
      <c r="P218" s="7">
        <f>$B218*'Distributor Payments'!N$21</f>
        <v>53939.326750965018</v>
      </c>
      <c r="Q218" s="7">
        <f>$B218*'Distributor Payments'!O$21</f>
        <v>53939.326750965018</v>
      </c>
      <c r="R218" s="7">
        <f>$B218*'Distributor Payments'!P$21</f>
        <v>53939.326750965018</v>
      </c>
      <c r="S218" s="7">
        <f>$B218*'Distributor Payments'!Q$21</f>
        <v>53939.326750965018</v>
      </c>
      <c r="T218" s="7">
        <f>$B218*'Distributor Payments'!R$21</f>
        <v>53939.326750965018</v>
      </c>
      <c r="U218" s="7">
        <f>$B218*'Distributor Payments'!S$21</f>
        <v>53939.326750965018</v>
      </c>
      <c r="V218" s="7">
        <f>$B218*'Distributor Payments'!T$21</f>
        <v>53939.326750965018</v>
      </c>
      <c r="W218" s="7">
        <f>$B218*'Distributor Payments'!U$21</f>
        <v>53939.326750965018</v>
      </c>
      <c r="X218" s="7">
        <f>B218*'Distributor Payments'!$V$21</f>
        <v>13203.001892188762</v>
      </c>
      <c r="Y218" s="7">
        <v>0</v>
      </c>
      <c r="Z218" s="7">
        <f t="shared" si="3"/>
        <v>920213.68018524791</v>
      </c>
    </row>
    <row r="219" spans="1:26" customFormat="1" x14ac:dyDescent="0.35">
      <c r="A219" s="3" t="s">
        <v>121</v>
      </c>
      <c r="B219" s="6">
        <v>8.084099336252E-5</v>
      </c>
      <c r="C219" s="8" t="s">
        <v>242</v>
      </c>
      <c r="D219" s="33" t="s">
        <v>336</v>
      </c>
      <c r="E219" s="25">
        <v>601</v>
      </c>
      <c r="F219" s="29">
        <v>655.21</v>
      </c>
      <c r="G219" s="28">
        <v>655.21</v>
      </c>
      <c r="H219" s="28">
        <v>1357.73</v>
      </c>
      <c r="I219" s="28">
        <v>597.6</v>
      </c>
      <c r="J219" s="7">
        <f>$B219*'Distributor Payments'!H$21</f>
        <v>1357.727537730532</v>
      </c>
      <c r="K219" s="7">
        <f>$B219*'Distributor Payments'!I$21</f>
        <v>1357.7275377175099</v>
      </c>
      <c r="L219" s="7">
        <f>$B219*'Distributor Payments'!J$21</f>
        <v>517.29419184489143</v>
      </c>
      <c r="M219" s="7">
        <f>$B219*'Distributor Payments'!K$21</f>
        <v>1596.8511662188512</v>
      </c>
      <c r="N219" s="7">
        <f>$B219*'Distributor Payments'!L$21</f>
        <v>1596.8511662188512</v>
      </c>
      <c r="O219" s="7">
        <f>$B219*'Distributor Payments'!M$21</f>
        <v>1596.8511662188512</v>
      </c>
      <c r="P219" s="7">
        <f>$B219*'Distributor Payments'!N$21</f>
        <v>1342.3145616501056</v>
      </c>
      <c r="Q219" s="7">
        <f>$B219*'Distributor Payments'!O$21</f>
        <v>1342.3145616501056</v>
      </c>
      <c r="R219" s="7">
        <f>$B219*'Distributor Payments'!P$21</f>
        <v>1342.3145616501056</v>
      </c>
      <c r="S219" s="7">
        <f>$B219*'Distributor Payments'!Q$21</f>
        <v>1342.3145616501056</v>
      </c>
      <c r="T219" s="7">
        <f>$B219*'Distributor Payments'!R$21</f>
        <v>1342.3145616501056</v>
      </c>
      <c r="U219" s="7">
        <f>$B219*'Distributor Payments'!S$21</f>
        <v>1342.3145616501056</v>
      </c>
      <c r="V219" s="7">
        <f>$B219*'Distributor Payments'!T$21</f>
        <v>1342.3145616501056</v>
      </c>
      <c r="W219" s="7">
        <f>$B219*'Distributor Payments'!U$21</f>
        <v>1342.3145616501056</v>
      </c>
      <c r="X219" s="7">
        <f>B219*'Distributor Payments'!$V$21</f>
        <v>328.56512613149744</v>
      </c>
      <c r="Y219" s="7">
        <v>0</v>
      </c>
      <c r="Z219" s="7">
        <f t="shared" si="3"/>
        <v>22957.134385281832</v>
      </c>
    </row>
    <row r="220" spans="1:26" customFormat="1" x14ac:dyDescent="0.35">
      <c r="A220" s="3" t="s">
        <v>121</v>
      </c>
      <c r="B220" s="6">
        <v>1.4594833953880172E-3</v>
      </c>
      <c r="C220" s="8" t="s">
        <v>243</v>
      </c>
      <c r="D220" s="33" t="s">
        <v>336</v>
      </c>
      <c r="E220" s="25">
        <v>10850.39</v>
      </c>
      <c r="F220" s="25">
        <v>11829.05</v>
      </c>
      <c r="G220" s="28">
        <v>11829.05</v>
      </c>
      <c r="H220" s="28">
        <v>24512.080000000002</v>
      </c>
      <c r="I220" s="28">
        <v>10788.93</v>
      </c>
      <c r="J220" s="7">
        <f>$B220*'Distributor Payments'!H$21</f>
        <v>24512.078765443301</v>
      </c>
      <c r="K220" s="7">
        <f>$B220*'Distributor Payments'!I$21</f>
        <v>24512.0787652082</v>
      </c>
      <c r="L220" s="7">
        <f>$B220*'Distributor Payments'!J$21</f>
        <v>9339.1020090843158</v>
      </c>
      <c r="M220" s="7">
        <f>$B220*'Distributor Payments'!K$21</f>
        <v>28829.157894575314</v>
      </c>
      <c r="N220" s="7">
        <f>$B220*'Distributor Payments'!L$21</f>
        <v>28829.157894575314</v>
      </c>
      <c r="O220" s="7">
        <f>$B220*'Distributor Payments'!M$21</f>
        <v>28829.157894575314</v>
      </c>
      <c r="P220" s="7">
        <f>$B220*'Distributor Payments'!N$21</f>
        <v>24233.816689147188</v>
      </c>
      <c r="Q220" s="7">
        <f>$B220*'Distributor Payments'!O$21</f>
        <v>24233.816689147188</v>
      </c>
      <c r="R220" s="7">
        <f>$B220*'Distributor Payments'!P$21</f>
        <v>24233.816689147188</v>
      </c>
      <c r="S220" s="7">
        <f>$B220*'Distributor Payments'!Q$21</f>
        <v>24233.816689147188</v>
      </c>
      <c r="T220" s="7">
        <f>$B220*'Distributor Payments'!R$21</f>
        <v>24233.816689147188</v>
      </c>
      <c r="U220" s="7">
        <f>$B220*'Distributor Payments'!S$21</f>
        <v>24233.816689147188</v>
      </c>
      <c r="V220" s="7">
        <f>$B220*'Distributor Payments'!T$21</f>
        <v>24233.816689147188</v>
      </c>
      <c r="W220" s="7">
        <f>$B220*'Distributor Payments'!U$21</f>
        <v>24233.816689147188</v>
      </c>
      <c r="X220" s="7">
        <f>B220*'Distributor Payments'!$V$21</f>
        <v>5931.8339118135464</v>
      </c>
      <c r="Y220" s="7">
        <v>0</v>
      </c>
      <c r="Z220" s="7">
        <f t="shared" si="3"/>
        <v>414462.60064845294</v>
      </c>
    </row>
    <row r="221" spans="1:26" customFormat="1" x14ac:dyDescent="0.35">
      <c r="A221" s="3" t="s">
        <v>83</v>
      </c>
      <c r="B221" s="6">
        <v>5.5010293233043542E-4</v>
      </c>
      <c r="C221" s="8" t="s">
        <v>244</v>
      </c>
      <c r="D221" s="33" t="s">
        <v>336</v>
      </c>
      <c r="E221" s="25">
        <v>4089.69</v>
      </c>
      <c r="F221" s="25">
        <v>4458.5600000000004</v>
      </c>
      <c r="G221" s="28">
        <v>4458.5600000000004</v>
      </c>
      <c r="H221" s="28">
        <v>9239</v>
      </c>
      <c r="I221" s="28">
        <v>4066.52</v>
      </c>
      <c r="J221" s="7">
        <f>$B221*'Distributor Payments'!H$21</f>
        <v>9238.9995316117092</v>
      </c>
      <c r="K221" s="7">
        <f>$B221*'Distributor Payments'!I$21</f>
        <v>9238.9995315230954</v>
      </c>
      <c r="L221" s="7">
        <f>$B221*'Distributor Payments'!J$21</f>
        <v>3520.0588213369156</v>
      </c>
      <c r="M221" s="7">
        <f>$B221*'Distributor Payments'!K$21</f>
        <v>10866.176583123604</v>
      </c>
      <c r="N221" s="7">
        <f>$B221*'Distributor Payments'!L$21</f>
        <v>10866.176583123604</v>
      </c>
      <c r="O221" s="7">
        <f>$B221*'Distributor Payments'!M$21</f>
        <v>10866.176583123604</v>
      </c>
      <c r="P221" s="7">
        <f>$B221*'Distributor Payments'!N$21</f>
        <v>9134.1180477862963</v>
      </c>
      <c r="Q221" s="7">
        <f>$B221*'Distributor Payments'!O$21</f>
        <v>9134.1180477862963</v>
      </c>
      <c r="R221" s="7">
        <f>$B221*'Distributor Payments'!P$21</f>
        <v>9134.1180477862963</v>
      </c>
      <c r="S221" s="7">
        <f>$B221*'Distributor Payments'!Q$21</f>
        <v>9134.1180477862963</v>
      </c>
      <c r="T221" s="7">
        <f>$B221*'Distributor Payments'!R$21</f>
        <v>9134.1180477862963</v>
      </c>
      <c r="U221" s="7">
        <f>$B221*'Distributor Payments'!S$21</f>
        <v>9134.1180477862963</v>
      </c>
      <c r="V221" s="7">
        <f>$B221*'Distributor Payments'!T$21</f>
        <v>9134.1180477862963</v>
      </c>
      <c r="W221" s="7">
        <f>$B221*'Distributor Payments'!U$21</f>
        <v>9134.1180477862963</v>
      </c>
      <c r="X221" s="7">
        <f>B221*'Distributor Payments'!$V$21</f>
        <v>2235.8042847881934</v>
      </c>
      <c r="Y221" s="7">
        <v>0</v>
      </c>
      <c r="Z221" s="7">
        <f t="shared" si="3"/>
        <v>156217.66630092109</v>
      </c>
    </row>
    <row r="222" spans="1:26" customFormat="1" x14ac:dyDescent="0.35">
      <c r="A222" s="3" t="s">
        <v>245</v>
      </c>
      <c r="B222" s="6">
        <v>1.6298467953600002E-3</v>
      </c>
      <c r="C222" s="8" t="s">
        <v>245</v>
      </c>
      <c r="D222" s="33" t="s">
        <v>336</v>
      </c>
      <c r="E222" s="25">
        <v>11755.37</v>
      </c>
      <c r="F222" s="25">
        <v>12815.65</v>
      </c>
      <c r="G222" s="28">
        <v>12815.65</v>
      </c>
      <c r="H222" s="28">
        <v>27373.34</v>
      </c>
      <c r="I222" s="28">
        <v>12048.31</v>
      </c>
      <c r="J222" s="7">
        <f>$B222*'Distributor Payments'!H$21</f>
        <v>27373.338504374246</v>
      </c>
      <c r="K222" s="7">
        <f>$B222*'Distributor Payments'!I$21</f>
        <v>27373.3385041117</v>
      </c>
      <c r="L222" s="7">
        <f>$B222*'Distributor Payments'!J$21</f>
        <v>10429.241969552855</v>
      </c>
      <c r="M222" s="7">
        <f>$B222*'Distributor Payments'!K$21</f>
        <v>32194.34407810379</v>
      </c>
      <c r="N222" s="7">
        <f>$B222*'Distributor Payments'!L$21</f>
        <v>32194.34407810379</v>
      </c>
      <c r="O222" s="7">
        <f>$B222*'Distributor Payments'!M$21</f>
        <v>32194.34407810379</v>
      </c>
      <c r="P222" s="7">
        <f>$B222*'Distributor Payments'!N$21</f>
        <v>27062.595295678224</v>
      </c>
      <c r="Q222" s="7">
        <f>$B222*'Distributor Payments'!O$21</f>
        <v>27062.595295678224</v>
      </c>
      <c r="R222" s="7">
        <f>$B222*'Distributor Payments'!P$21</f>
        <v>27062.595295678224</v>
      </c>
      <c r="S222" s="7">
        <f>$B222*'Distributor Payments'!Q$21</f>
        <v>27062.595295678224</v>
      </c>
      <c r="T222" s="7">
        <f>$B222*'Distributor Payments'!R$21</f>
        <v>27062.595295678224</v>
      </c>
      <c r="U222" s="7">
        <f>$B222*'Distributor Payments'!S$21</f>
        <v>27062.595295678224</v>
      </c>
      <c r="V222" s="7">
        <f>$B222*'Distributor Payments'!T$21</f>
        <v>27062.595295678224</v>
      </c>
      <c r="W222" s="7">
        <f>$B222*'Distributor Payments'!U$21</f>
        <v>27062.595295678224</v>
      </c>
      <c r="X222" s="7">
        <f>B222*'Distributor Payments'!$V$21</f>
        <v>6624.2483623506805</v>
      </c>
      <c r="Y222" s="7">
        <v>0</v>
      </c>
      <c r="Z222" s="7">
        <f t="shared" si="3"/>
        <v>461692.28194012673</v>
      </c>
    </row>
    <row r="223" spans="1:26" customFormat="1" x14ac:dyDescent="0.35">
      <c r="A223" s="3" t="s">
        <v>22</v>
      </c>
      <c r="B223" s="6">
        <v>1.1872459833943937E-3</v>
      </c>
      <c r="C223" s="8" t="s">
        <v>246</v>
      </c>
      <c r="D223" s="33" t="s">
        <v>336</v>
      </c>
      <c r="E223" s="25">
        <v>8826.4699999999993</v>
      </c>
      <c r="F223" s="29">
        <v>9622.58</v>
      </c>
      <c r="G223" s="28">
        <v>9622.58</v>
      </c>
      <c r="H223" s="28">
        <v>19939.84</v>
      </c>
      <c r="I223" s="28">
        <v>8776.4699999999993</v>
      </c>
      <c r="J223" s="7">
        <f>$B223*'Distributor Payments'!H$21</f>
        <v>19939.841145765531</v>
      </c>
      <c r="K223" s="7">
        <f>$B223*'Distributor Payments'!I$21</f>
        <v>19939.841145574283</v>
      </c>
      <c r="L223" s="7">
        <f>$B223*'Distributor Payments'!J$21</f>
        <v>7597.0794760895997</v>
      </c>
      <c r="M223" s="7">
        <f>$B223*'Distributor Payments'!K$21</f>
        <v>23451.655581102154</v>
      </c>
      <c r="N223" s="7">
        <f>$B223*'Distributor Payments'!L$21</f>
        <v>23451.655581102154</v>
      </c>
      <c r="O223" s="7">
        <f>$B223*'Distributor Payments'!M$21</f>
        <v>23451.655581102154</v>
      </c>
      <c r="P223" s="7">
        <f>$B223*'Distributor Payments'!N$21</f>
        <v>19713.483289651849</v>
      </c>
      <c r="Q223" s="7">
        <f>$B223*'Distributor Payments'!O$21</f>
        <v>19713.483289651849</v>
      </c>
      <c r="R223" s="7">
        <f>$B223*'Distributor Payments'!P$21</f>
        <v>19713.483289651849</v>
      </c>
      <c r="S223" s="7">
        <f>$B223*'Distributor Payments'!Q$21</f>
        <v>19713.483289651849</v>
      </c>
      <c r="T223" s="7">
        <f>$B223*'Distributor Payments'!R$21</f>
        <v>19713.483289651849</v>
      </c>
      <c r="U223" s="7">
        <f>$B223*'Distributor Payments'!S$21</f>
        <v>19713.483289651849</v>
      </c>
      <c r="V223" s="7">
        <f>$B223*'Distributor Payments'!T$21</f>
        <v>19713.483289651849</v>
      </c>
      <c r="W223" s="7">
        <f>$B223*'Distributor Payments'!U$21</f>
        <v>19713.483289651849</v>
      </c>
      <c r="X223" s="7">
        <f>B223*'Distributor Payments'!$V$21</f>
        <v>4825.3690368919624</v>
      </c>
      <c r="Y223" s="7">
        <v>0</v>
      </c>
      <c r="Z223" s="7">
        <f t="shared" si="3"/>
        <v>337152.90386484272</v>
      </c>
    </row>
    <row r="224" spans="1:26" customFormat="1" x14ac:dyDescent="0.35">
      <c r="A224" s="3" t="s">
        <v>22</v>
      </c>
      <c r="B224" s="6">
        <v>2.7031152815121587E-4</v>
      </c>
      <c r="C224" s="8" t="s">
        <v>247</v>
      </c>
      <c r="D224" s="33" t="s">
        <v>336</v>
      </c>
      <c r="E224" s="25">
        <v>2009.61</v>
      </c>
      <c r="F224" s="25">
        <v>2190.86</v>
      </c>
      <c r="G224" s="28">
        <v>2190.86</v>
      </c>
      <c r="H224" s="28">
        <v>4539.8900000000003</v>
      </c>
      <c r="I224" s="28">
        <v>1998.22</v>
      </c>
      <c r="J224" s="7">
        <f>$B224*'Distributor Payments'!H$21</f>
        <v>4539.8923277838257</v>
      </c>
      <c r="K224" s="7">
        <f>$B224*'Distributor Payments'!I$21</f>
        <v>4539.8923277402828</v>
      </c>
      <c r="L224" s="7">
        <f>$B224*'Distributor Payments'!J$21</f>
        <v>1729.6989767838495</v>
      </c>
      <c r="M224" s="7">
        <f>$B224*'Distributor Payments'!K$21</f>
        <v>5339.4603531775974</v>
      </c>
      <c r="N224" s="7">
        <f>$B224*'Distributor Payments'!L$21</f>
        <v>5339.4603531775974</v>
      </c>
      <c r="O224" s="7">
        <f>$B224*'Distributor Payments'!M$21</f>
        <v>5339.4603531775974</v>
      </c>
      <c r="P224" s="7">
        <f>$B224*'Distributor Payments'!N$21</f>
        <v>4488.3552926193142</v>
      </c>
      <c r="Q224" s="7">
        <f>$B224*'Distributor Payments'!O$21</f>
        <v>4488.3552926193142</v>
      </c>
      <c r="R224" s="7">
        <f>$B224*'Distributor Payments'!P$21</f>
        <v>4488.3552926193142</v>
      </c>
      <c r="S224" s="7">
        <f>$B224*'Distributor Payments'!Q$21</f>
        <v>4488.3552926193142</v>
      </c>
      <c r="T224" s="7">
        <f>$B224*'Distributor Payments'!R$21</f>
        <v>4488.3552926193142</v>
      </c>
      <c r="U224" s="7">
        <f>$B224*'Distributor Payments'!S$21</f>
        <v>4488.3552926193142</v>
      </c>
      <c r="V224" s="7">
        <f>$B224*'Distributor Payments'!T$21</f>
        <v>4488.3552926193142</v>
      </c>
      <c r="W224" s="7">
        <f>$B224*'Distributor Payments'!U$21</f>
        <v>4488.3552926193142</v>
      </c>
      <c r="X224" s="7">
        <f>B224*'Distributor Payments'!$V$21</f>
        <v>1098.6374319217482</v>
      </c>
      <c r="Y224" s="7">
        <v>0</v>
      </c>
      <c r="Z224" s="7">
        <f t="shared" si="3"/>
        <v>76762.784464716999</v>
      </c>
    </row>
    <row r="225" spans="1:26" customFormat="1" x14ac:dyDescent="0.35">
      <c r="A225" s="3" t="s">
        <v>34</v>
      </c>
      <c r="B225" s="6">
        <v>2.2358267865419144E-4</v>
      </c>
      <c r="C225" s="8" t="s">
        <v>248</v>
      </c>
      <c r="D225" s="33" t="s">
        <v>336</v>
      </c>
      <c r="E225" s="25">
        <v>1662.2</v>
      </c>
      <c r="F225" s="25">
        <v>1812.13</v>
      </c>
      <c r="G225" s="28">
        <v>1812.13</v>
      </c>
      <c r="H225" s="28">
        <v>3755.08</v>
      </c>
      <c r="I225" s="28">
        <v>1652.79</v>
      </c>
      <c r="J225" s="7">
        <f>$B225*'Distributor Payments'!H$21</f>
        <v>3755.0795350455519</v>
      </c>
      <c r="K225" s="7">
        <f>$B225*'Distributor Payments'!I$21</f>
        <v>3755.0795350095359</v>
      </c>
      <c r="L225" s="7">
        <f>$B225*'Distributor Payments'!J$21</f>
        <v>1430.6853027681634</v>
      </c>
      <c r="M225" s="7">
        <f>$B225*'Distributor Payments'!K$21</f>
        <v>4416.4259530339705</v>
      </c>
      <c r="N225" s="7">
        <f>$B225*'Distributor Payments'!L$21</f>
        <v>4416.4259530339705</v>
      </c>
      <c r="O225" s="7">
        <f>$B225*'Distributor Payments'!M$21</f>
        <v>4416.4259530339705</v>
      </c>
      <c r="P225" s="7">
        <f>$B225*'Distributor Payments'!N$21</f>
        <v>3712.4517253816934</v>
      </c>
      <c r="Q225" s="7">
        <f>$B225*'Distributor Payments'!O$21</f>
        <v>3712.4517253816934</v>
      </c>
      <c r="R225" s="7">
        <f>$B225*'Distributor Payments'!P$21</f>
        <v>3712.4517253816934</v>
      </c>
      <c r="S225" s="7">
        <f>$B225*'Distributor Payments'!Q$21</f>
        <v>3712.4517253816934</v>
      </c>
      <c r="T225" s="7">
        <f>$B225*'Distributor Payments'!R$21</f>
        <v>3712.4517253816934</v>
      </c>
      <c r="U225" s="7">
        <f>$B225*'Distributor Payments'!S$21</f>
        <v>3712.4517253816934</v>
      </c>
      <c r="V225" s="7">
        <f>$B225*'Distributor Payments'!T$21</f>
        <v>3712.4517253816934</v>
      </c>
      <c r="W225" s="7">
        <f>$B225*'Distributor Payments'!U$21</f>
        <v>3712.4517253816934</v>
      </c>
      <c r="X225" s="7">
        <f>B225*'Distributor Payments'!$V$21</f>
        <v>908.71559041097987</v>
      </c>
      <c r="Y225" s="7">
        <v>0</v>
      </c>
      <c r="Z225" s="7">
        <f t="shared" si="3"/>
        <v>63492.781625389711</v>
      </c>
    </row>
    <row r="226" spans="1:26" customFormat="1" x14ac:dyDescent="0.35">
      <c r="A226" s="3" t="s">
        <v>34</v>
      </c>
      <c r="B226" s="6">
        <v>3.7854251384083782E-4</v>
      </c>
      <c r="C226" s="8" t="s">
        <v>249</v>
      </c>
      <c r="D226" s="33" t="s">
        <v>336</v>
      </c>
      <c r="E226" s="25">
        <v>2814.24</v>
      </c>
      <c r="F226" s="25">
        <v>3068.07</v>
      </c>
      <c r="G226" s="28">
        <v>3068.07</v>
      </c>
      <c r="H226" s="28">
        <v>6357.64</v>
      </c>
      <c r="I226" s="28">
        <v>2798.3</v>
      </c>
      <c r="J226" s="7">
        <f>$B226*'Distributor Payments'!H$21</f>
        <v>6357.6358214535594</v>
      </c>
      <c r="K226" s="7">
        <f>$B226*'Distributor Payments'!I$21</f>
        <v>6357.6358213925823</v>
      </c>
      <c r="L226" s="7">
        <f>$B226*'Distributor Payments'!J$21</f>
        <v>2422.2592478312631</v>
      </c>
      <c r="M226" s="7">
        <f>$B226*'Distributor Payments'!K$21</f>
        <v>7477.3457072635183</v>
      </c>
      <c r="N226" s="7">
        <f>$B226*'Distributor Payments'!L$21</f>
        <v>7477.3457072635183</v>
      </c>
      <c r="O226" s="7">
        <f>$B226*'Distributor Payments'!M$21</f>
        <v>7477.3457072635183</v>
      </c>
      <c r="P226" s="7">
        <f>$B226*'Distributor Payments'!N$21</f>
        <v>6285.4636910952713</v>
      </c>
      <c r="Q226" s="7">
        <f>$B226*'Distributor Payments'!O$21</f>
        <v>6285.4636910952713</v>
      </c>
      <c r="R226" s="7">
        <f>$B226*'Distributor Payments'!P$21</f>
        <v>6285.4636910952713</v>
      </c>
      <c r="S226" s="7">
        <f>$B226*'Distributor Payments'!Q$21</f>
        <v>6285.4636910952713</v>
      </c>
      <c r="T226" s="7">
        <f>$B226*'Distributor Payments'!R$21</f>
        <v>6285.4636910952713</v>
      </c>
      <c r="U226" s="7">
        <f>$B226*'Distributor Payments'!S$21</f>
        <v>6285.4636910952713</v>
      </c>
      <c r="V226" s="7">
        <f>$B226*'Distributor Payments'!T$21</f>
        <v>6285.4636910952713</v>
      </c>
      <c r="W226" s="7">
        <f>$B226*'Distributor Payments'!U$21</f>
        <v>6285.4636910952713</v>
      </c>
      <c r="X226" s="7">
        <f>B226*'Distributor Payments'!$V$21</f>
        <v>1538.524746331394</v>
      </c>
      <c r="Y226" s="7">
        <v>0</v>
      </c>
      <c r="Z226" s="7">
        <f t="shared" si="3"/>
        <v>107498.12228756152</v>
      </c>
    </row>
    <row r="227" spans="1:26" customFormat="1" x14ac:dyDescent="0.35">
      <c r="A227" s="3" t="s">
        <v>22</v>
      </c>
      <c r="B227" s="6">
        <v>1.0430545820800002E-3</v>
      </c>
      <c r="C227" s="8" t="s">
        <v>250</v>
      </c>
      <c r="D227" s="33" t="s">
        <v>336</v>
      </c>
      <c r="E227" s="25">
        <v>7523.09</v>
      </c>
      <c r="F227" s="25">
        <v>8201.64</v>
      </c>
      <c r="G227" s="28">
        <v>8201.64</v>
      </c>
      <c r="H227" s="28">
        <v>17518.14</v>
      </c>
      <c r="I227" s="28">
        <v>7710.57</v>
      </c>
      <c r="J227" s="7">
        <f>$B227*'Distributor Payments'!H$21</f>
        <v>17518.141113078007</v>
      </c>
      <c r="K227" s="7">
        <f>$B227*'Distributor Payments'!I$21</f>
        <v>17518.141112909987</v>
      </c>
      <c r="L227" s="7">
        <f>$B227*'Distributor Payments'!J$21</f>
        <v>6674.4117636899491</v>
      </c>
      <c r="M227" s="7">
        <f>$B227*'Distributor Payments'!K$21</f>
        <v>20603.444571186847</v>
      </c>
      <c r="N227" s="7">
        <f>$B227*'Distributor Payments'!L$21</f>
        <v>20603.444571186847</v>
      </c>
      <c r="O227" s="7">
        <f>$B227*'Distributor Payments'!M$21</f>
        <v>20603.444571186847</v>
      </c>
      <c r="P227" s="7">
        <f>$B227*'Distributor Payments'!N$21</f>
        <v>17319.274490397045</v>
      </c>
      <c r="Q227" s="7">
        <f>$B227*'Distributor Payments'!O$21</f>
        <v>17319.274490397045</v>
      </c>
      <c r="R227" s="7">
        <f>$B227*'Distributor Payments'!P$21</f>
        <v>17319.274490397045</v>
      </c>
      <c r="S227" s="7">
        <f>$B227*'Distributor Payments'!Q$21</f>
        <v>17319.274490397045</v>
      </c>
      <c r="T227" s="7">
        <f>$B227*'Distributor Payments'!R$21</f>
        <v>17319.274490397045</v>
      </c>
      <c r="U227" s="7">
        <f>$B227*'Distributor Payments'!S$21</f>
        <v>17319.274490397045</v>
      </c>
      <c r="V227" s="7">
        <f>$B227*'Distributor Payments'!T$21</f>
        <v>17319.274490397045</v>
      </c>
      <c r="W227" s="7">
        <f>$B227*'Distributor Payments'!U$21</f>
        <v>17319.274490397045</v>
      </c>
      <c r="X227" s="7">
        <f>B227*'Distributor Payments'!$V$21</f>
        <v>4239.326436605139</v>
      </c>
      <c r="Y227" s="7">
        <v>0</v>
      </c>
      <c r="Z227" s="7">
        <f t="shared" si="3"/>
        <v>295469.63006301998</v>
      </c>
    </row>
    <row r="228" spans="1:26" customFormat="1" x14ac:dyDescent="0.35">
      <c r="A228" s="3" t="s">
        <v>251</v>
      </c>
      <c r="B228" s="6">
        <v>4.3018366798400001E-3</v>
      </c>
      <c r="C228" s="8" t="s">
        <v>251</v>
      </c>
      <c r="D228" s="33" t="s">
        <v>336</v>
      </c>
      <c r="E228" s="25">
        <v>31027.26</v>
      </c>
      <c r="F228" s="25">
        <v>33825.769999999997</v>
      </c>
      <c r="G228" s="28">
        <v>33825.769999999997</v>
      </c>
      <c r="H228" s="28">
        <v>72249.509999999995</v>
      </c>
      <c r="I228" s="28">
        <v>31800.45</v>
      </c>
      <c r="J228" s="7">
        <f>$B228*'Distributor Payments'!H$21</f>
        <v>72249.509563126703</v>
      </c>
      <c r="K228" s="7">
        <f>$B228*'Distributor Payments'!I$21</f>
        <v>72249.509562433741</v>
      </c>
      <c r="L228" s="7">
        <f>$B228*'Distributor Payments'!J$21</f>
        <v>27527.06314193138</v>
      </c>
      <c r="M228" s="7">
        <f>$B228*'Distributor Payments'!K$21</f>
        <v>84974.128017956362</v>
      </c>
      <c r="N228" s="7">
        <f>$B228*'Distributor Payments'!L$21</f>
        <v>84974.128017956362</v>
      </c>
      <c r="O228" s="7">
        <f>$B228*'Distributor Payments'!M$21</f>
        <v>84974.128017956362</v>
      </c>
      <c r="P228" s="7">
        <f>$B228*'Distributor Payments'!N$21</f>
        <v>71429.330306410455</v>
      </c>
      <c r="Q228" s="7">
        <f>$B228*'Distributor Payments'!O$21</f>
        <v>71429.330306410455</v>
      </c>
      <c r="R228" s="7">
        <f>$B228*'Distributor Payments'!P$21</f>
        <v>71429.330306410455</v>
      </c>
      <c r="S228" s="7">
        <f>$B228*'Distributor Payments'!Q$21</f>
        <v>71429.330306410455</v>
      </c>
      <c r="T228" s="7">
        <f>$B228*'Distributor Payments'!R$21</f>
        <v>71429.330306410455</v>
      </c>
      <c r="U228" s="7">
        <f>$B228*'Distributor Payments'!S$21</f>
        <v>71429.330306410455</v>
      </c>
      <c r="V228" s="7">
        <f>$B228*'Distributor Payments'!T$21</f>
        <v>71429.330306410455</v>
      </c>
      <c r="W228" s="7">
        <f>$B228*'Distributor Payments'!U$21</f>
        <v>71429.330306410455</v>
      </c>
      <c r="X228" s="7">
        <f>B228*'Distributor Payments'!$V$21</f>
        <v>17484.118545777746</v>
      </c>
      <c r="Y228" s="7">
        <v>0</v>
      </c>
      <c r="Z228" s="7">
        <f t="shared" si="3"/>
        <v>1218595.9873184226</v>
      </c>
    </row>
    <row r="229" spans="1:26" customFormat="1" x14ac:dyDescent="0.35">
      <c r="A229" s="3" t="s">
        <v>75</v>
      </c>
      <c r="B229" s="6">
        <v>2.3935078225325885E-3</v>
      </c>
      <c r="C229" s="8" t="s">
        <v>252</v>
      </c>
      <c r="D229" s="33" t="s">
        <v>336</v>
      </c>
      <c r="E229" s="25">
        <v>17794.310000000001</v>
      </c>
      <c r="F229" s="25">
        <v>19399.27</v>
      </c>
      <c r="G229" s="28">
        <v>19399.27</v>
      </c>
      <c r="H229" s="28">
        <v>40199.050000000003</v>
      </c>
      <c r="I229" s="28">
        <v>17693.52</v>
      </c>
      <c r="J229" s="7">
        <f>$B229*'Distributor Payments'!H$21</f>
        <v>40199.054307175291</v>
      </c>
      <c r="K229" s="7">
        <f>$B229*'Distributor Payments'!I$21</f>
        <v>40199.054306789731</v>
      </c>
      <c r="L229" s="7">
        <f>$B229*'Distributor Payments'!J$21</f>
        <v>15315.83969013249</v>
      </c>
      <c r="M229" s="7">
        <f>$B229*'Distributor Payments'!K$21</f>
        <v>47278.931131208999</v>
      </c>
      <c r="N229" s="7">
        <f>$B229*'Distributor Payments'!L$21</f>
        <v>47278.931131208999</v>
      </c>
      <c r="O229" s="7">
        <f>$B229*'Distributor Payments'!M$21</f>
        <v>47278.931131208999</v>
      </c>
      <c r="P229" s="7">
        <f>$B229*'Distributor Payments'!N$21</f>
        <v>39742.713071342434</v>
      </c>
      <c r="Q229" s="7">
        <f>$B229*'Distributor Payments'!O$21</f>
        <v>39742.713071342434</v>
      </c>
      <c r="R229" s="7">
        <f>$B229*'Distributor Payments'!P$21</f>
        <v>39742.713071342434</v>
      </c>
      <c r="S229" s="7">
        <f>$B229*'Distributor Payments'!Q$21</f>
        <v>39742.713071342434</v>
      </c>
      <c r="T229" s="7">
        <f>$B229*'Distributor Payments'!R$21</f>
        <v>39742.713071342434</v>
      </c>
      <c r="U229" s="7">
        <f>$B229*'Distributor Payments'!S$21</f>
        <v>39742.713071342434</v>
      </c>
      <c r="V229" s="7">
        <f>$B229*'Distributor Payments'!T$21</f>
        <v>39742.713071342434</v>
      </c>
      <c r="W229" s="7">
        <f>$B229*'Distributor Payments'!U$21</f>
        <v>39742.713071342434</v>
      </c>
      <c r="X229" s="7">
        <f>B229*'Distributor Payments'!$V$21</f>
        <v>9728.0249400269258</v>
      </c>
      <c r="Y229" s="7">
        <v>0</v>
      </c>
      <c r="Z229" s="7">
        <f t="shared" si="3"/>
        <v>679705.89120849106</v>
      </c>
    </row>
    <row r="230" spans="1:26" customFormat="1" x14ac:dyDescent="0.35">
      <c r="A230" s="3" t="s">
        <v>34</v>
      </c>
      <c r="B230" s="6">
        <v>1.4540146793189084E-3</v>
      </c>
      <c r="C230" s="8" t="s">
        <v>253</v>
      </c>
      <c r="D230" s="33" t="s">
        <v>336</v>
      </c>
      <c r="E230" s="25">
        <v>10809.74</v>
      </c>
      <c r="F230" s="25">
        <v>11784.72</v>
      </c>
      <c r="G230" s="28">
        <v>11784.72</v>
      </c>
      <c r="H230" s="28">
        <v>24420.23</v>
      </c>
      <c r="I230" s="28">
        <v>10748.51</v>
      </c>
      <c r="J230" s="7">
        <f>$B230*'Distributor Payments'!H$21</f>
        <v>24420.231472452208</v>
      </c>
      <c r="K230" s="7">
        <f>$B230*'Distributor Payments'!I$21</f>
        <v>24420.231472217987</v>
      </c>
      <c r="L230" s="7">
        <f>$B230*'Distributor Payments'!J$21</f>
        <v>9304.1081904567691</v>
      </c>
      <c r="M230" s="7">
        <f>$B230*'Distributor Payments'!K$21</f>
        <v>28721.134412064213</v>
      </c>
      <c r="N230" s="7">
        <f>$B230*'Distributor Payments'!L$21</f>
        <v>28721.134412064213</v>
      </c>
      <c r="O230" s="7">
        <f>$B230*'Distributor Payments'!M$21</f>
        <v>28721.134412064213</v>
      </c>
      <c r="P230" s="7">
        <f>$B230*'Distributor Payments'!N$21</f>
        <v>24143.012050216341</v>
      </c>
      <c r="Q230" s="7">
        <f>$B230*'Distributor Payments'!O$21</f>
        <v>24143.012050216341</v>
      </c>
      <c r="R230" s="7">
        <f>$B230*'Distributor Payments'!P$21</f>
        <v>24143.012050216341</v>
      </c>
      <c r="S230" s="7">
        <f>$B230*'Distributor Payments'!Q$21</f>
        <v>24143.012050216341</v>
      </c>
      <c r="T230" s="7">
        <f>$B230*'Distributor Payments'!R$21</f>
        <v>24143.012050216341</v>
      </c>
      <c r="U230" s="7">
        <f>$B230*'Distributor Payments'!S$21</f>
        <v>24143.012050216341</v>
      </c>
      <c r="V230" s="7">
        <f>$B230*'Distributor Payments'!T$21</f>
        <v>24143.012050216341</v>
      </c>
      <c r="W230" s="7">
        <f>$B230*'Distributor Payments'!U$21</f>
        <v>24143.012050216341</v>
      </c>
      <c r="X230" s="7">
        <f>B230*'Distributor Payments'!$V$21</f>
        <v>5909.6072009545342</v>
      </c>
      <c r="Y230" s="7">
        <v>0</v>
      </c>
      <c r="Z230" s="7">
        <f t="shared" si="3"/>
        <v>412909.59797400475</v>
      </c>
    </row>
    <row r="231" spans="1:26" customFormat="1" x14ac:dyDescent="0.35">
      <c r="A231" s="3" t="s">
        <v>254</v>
      </c>
      <c r="B231" s="6">
        <v>3.876029547334927E-4</v>
      </c>
      <c r="C231" s="8" t="s">
        <v>255</v>
      </c>
      <c r="D231" s="33" t="s">
        <v>336</v>
      </c>
      <c r="E231" s="25">
        <v>2881.6</v>
      </c>
      <c r="F231" s="29">
        <v>3141.5</v>
      </c>
      <c r="G231" s="28">
        <v>3141.5</v>
      </c>
      <c r="H231" s="28">
        <v>6509.81</v>
      </c>
      <c r="I231" s="28">
        <v>2865.28</v>
      </c>
      <c r="J231" s="7">
        <f>$B231*'Distributor Payments'!H$21</f>
        <v>6509.8062685529976</v>
      </c>
      <c r="K231" s="7">
        <f>$B231*'Distributor Payments'!I$21</f>
        <v>6509.8062684905599</v>
      </c>
      <c r="L231" s="7">
        <f>$B231*'Distributor Payments'!J$21</f>
        <v>2480.236188172737</v>
      </c>
      <c r="M231" s="7">
        <f>$B231*'Distributor Payments'!K$21</f>
        <v>7656.3164868655504</v>
      </c>
      <c r="N231" s="7">
        <f>$B231*'Distributor Payments'!L$21</f>
        <v>7656.3164868655504</v>
      </c>
      <c r="O231" s="7">
        <f>$B231*'Distributor Payments'!M$21</f>
        <v>7656.3164868655504</v>
      </c>
      <c r="P231" s="7">
        <f>$B231*'Distributor Payments'!N$21</f>
        <v>6435.9066933310569</v>
      </c>
      <c r="Q231" s="7">
        <f>$B231*'Distributor Payments'!O$21</f>
        <v>6435.9066933310569</v>
      </c>
      <c r="R231" s="7">
        <f>$B231*'Distributor Payments'!P$21</f>
        <v>6435.9066933310569</v>
      </c>
      <c r="S231" s="7">
        <f>$B231*'Distributor Payments'!Q$21</f>
        <v>6435.9066933310569</v>
      </c>
      <c r="T231" s="7">
        <f>$B231*'Distributor Payments'!R$21</f>
        <v>6435.9066933310569</v>
      </c>
      <c r="U231" s="7">
        <f>$B231*'Distributor Payments'!S$21</f>
        <v>6435.9066933310569</v>
      </c>
      <c r="V231" s="7">
        <f>$B231*'Distributor Payments'!T$21</f>
        <v>6435.9066933310569</v>
      </c>
      <c r="W231" s="7">
        <f>$B231*'Distributor Payments'!U$21</f>
        <v>6435.9066933310569</v>
      </c>
      <c r="X231" s="7">
        <f>B231*'Distributor Payments'!$V$21</f>
        <v>1575.3494410917915</v>
      </c>
      <c r="Y231" s="7">
        <v>0</v>
      </c>
      <c r="Z231" s="7">
        <f t="shared" si="3"/>
        <v>110071.09117355317</v>
      </c>
    </row>
    <row r="232" spans="1:26" customFormat="1" x14ac:dyDescent="0.35">
      <c r="A232" s="3" t="s">
        <v>254</v>
      </c>
      <c r="B232" s="6">
        <v>2.412683402120632E-3</v>
      </c>
      <c r="C232" s="8" t="s">
        <v>256</v>
      </c>
      <c r="D232" s="33" t="s">
        <v>336</v>
      </c>
      <c r="E232" s="25">
        <v>17936.87</v>
      </c>
      <c r="F232" s="25">
        <v>19554.689999999999</v>
      </c>
      <c r="G232" s="28">
        <v>19554.689999999999</v>
      </c>
      <c r="H232" s="28">
        <v>40521.11</v>
      </c>
      <c r="I232" s="28">
        <v>17835.27</v>
      </c>
      <c r="J232" s="7">
        <f>$B232*'Distributor Payments'!H$21</f>
        <v>40521.10889081801</v>
      </c>
      <c r="K232" s="7">
        <f>$B232*'Distributor Payments'!I$21</f>
        <v>40521.108890429365</v>
      </c>
      <c r="L232" s="7">
        <f>$B232*'Distributor Payments'!J$21</f>
        <v>15438.542486493146</v>
      </c>
      <c r="M232" s="7">
        <f>$B232*'Distributor Payments'!K$21</f>
        <v>47657.7061233813</v>
      </c>
      <c r="N232" s="7">
        <f>$B232*'Distributor Payments'!L$21</f>
        <v>47657.7061233813</v>
      </c>
      <c r="O232" s="7">
        <f>$B232*'Distributor Payments'!M$21</f>
        <v>47657.7061233813</v>
      </c>
      <c r="P232" s="7">
        <f>$B232*'Distributor Payments'!N$21</f>
        <v>40061.111678762871</v>
      </c>
      <c r="Q232" s="7">
        <f>$B232*'Distributor Payments'!O$21</f>
        <v>40061.111678762871</v>
      </c>
      <c r="R232" s="7">
        <f>$B232*'Distributor Payments'!P$21</f>
        <v>40061.111678762871</v>
      </c>
      <c r="S232" s="7">
        <f>$B232*'Distributor Payments'!Q$21</f>
        <v>40061.111678762871</v>
      </c>
      <c r="T232" s="7">
        <f>$B232*'Distributor Payments'!R$21</f>
        <v>40061.111678762871</v>
      </c>
      <c r="U232" s="7">
        <f>$B232*'Distributor Payments'!S$21</f>
        <v>40061.111678762871</v>
      </c>
      <c r="V232" s="7">
        <f>$B232*'Distributor Payments'!T$21</f>
        <v>40061.111678762871</v>
      </c>
      <c r="W232" s="7">
        <f>$B232*'Distributor Payments'!U$21</f>
        <v>40061.111678762871</v>
      </c>
      <c r="X232" s="7">
        <f>B232*'Distributor Payments'!$V$21</f>
        <v>9805.9609779691691</v>
      </c>
      <c r="Y232" s="7">
        <v>0</v>
      </c>
      <c r="Z232" s="7">
        <f t="shared" si="3"/>
        <v>685151.36304595647</v>
      </c>
    </row>
    <row r="233" spans="1:26" customFormat="1" x14ac:dyDescent="0.35">
      <c r="A233" s="3" t="s">
        <v>254</v>
      </c>
      <c r="B233" s="6">
        <v>1.8697505970799999E-2</v>
      </c>
      <c r="C233" s="8" t="s">
        <v>254</v>
      </c>
      <c r="D233" s="33" t="s">
        <v>336</v>
      </c>
      <c r="E233" s="25">
        <v>134856.9</v>
      </c>
      <c r="F233" s="25">
        <v>147020.35</v>
      </c>
      <c r="G233" s="28">
        <v>147020.35</v>
      </c>
      <c r="H233" s="28">
        <v>314025.32</v>
      </c>
      <c r="I233" s="28">
        <v>138217.48000000001</v>
      </c>
      <c r="J233" s="7">
        <f>$B233*'Distributor Payments'!H$21</f>
        <v>314025.31917928997</v>
      </c>
      <c r="K233" s="7">
        <f>$B233*'Distributor Payments'!I$21</f>
        <v>314025.31917627808</v>
      </c>
      <c r="L233" s="7">
        <f>$B233*'Distributor Payments'!J$21</f>
        <v>119643.64660026878</v>
      </c>
      <c r="M233" s="7">
        <f>$B233*'Distributor Payments'!K$21</f>
        <v>369331.60978076822</v>
      </c>
      <c r="N233" s="7">
        <f>$B233*'Distributor Payments'!L$21</f>
        <v>369331.60978076822</v>
      </c>
      <c r="O233" s="7">
        <f>$B233*'Distributor Payments'!M$21</f>
        <v>369331.60978076822</v>
      </c>
      <c r="P233" s="7">
        <f>$B233*'Distributor Payments'!N$21</f>
        <v>310460.49148105463</v>
      </c>
      <c r="Q233" s="7">
        <f>$B233*'Distributor Payments'!O$21</f>
        <v>310460.49148105463</v>
      </c>
      <c r="R233" s="7">
        <f>$B233*'Distributor Payments'!P$21</f>
        <v>310460.49148105463</v>
      </c>
      <c r="S233" s="7">
        <f>$B233*'Distributor Payments'!Q$21</f>
        <v>310460.49148105463</v>
      </c>
      <c r="T233" s="7">
        <f>$B233*'Distributor Payments'!R$21</f>
        <v>310460.49148105463</v>
      </c>
      <c r="U233" s="7">
        <f>$B233*'Distributor Payments'!S$21</f>
        <v>310460.49148105463</v>
      </c>
      <c r="V233" s="7">
        <f>$B233*'Distributor Payments'!T$21</f>
        <v>310460.49148105463</v>
      </c>
      <c r="W233" s="7">
        <f>$B233*'Distributor Payments'!U$21</f>
        <v>310460.49148105463</v>
      </c>
      <c r="X233" s="7">
        <f>B233*'Distributor Payments'!$V$21</f>
        <v>75992.985144199687</v>
      </c>
      <c r="Y233" s="7">
        <v>0</v>
      </c>
      <c r="Z233" s="7">
        <f t="shared" si="3"/>
        <v>5296506.4312907783</v>
      </c>
    </row>
    <row r="234" spans="1:26" customFormat="1" x14ac:dyDescent="0.35">
      <c r="A234" s="3" t="s">
        <v>257</v>
      </c>
      <c r="B234" s="6">
        <v>3.8845852225600007E-3</v>
      </c>
      <c r="C234" s="8" t="s">
        <v>257</v>
      </c>
      <c r="D234" s="33" t="s">
        <v>336</v>
      </c>
      <c r="E234" s="25">
        <v>28017.81</v>
      </c>
      <c r="F234" s="25">
        <v>30544.880000000001</v>
      </c>
      <c r="G234" s="28">
        <v>30544.880000000001</v>
      </c>
      <c r="H234" s="28">
        <v>65241.760000000002</v>
      </c>
      <c r="I234" s="28">
        <v>28716</v>
      </c>
      <c r="J234" s="7">
        <f>$B234*'Distributor Payments'!H$21</f>
        <v>65241.755574172123</v>
      </c>
      <c r="K234" s="7">
        <f>$B234*'Distributor Payments'!I$21</f>
        <v>65241.755573546376</v>
      </c>
      <c r="L234" s="7">
        <f>$B234*'Distributor Payments'!J$21</f>
        <v>24857.108872296805</v>
      </c>
      <c r="M234" s="7">
        <f>$B234*'Distributor Payments'!K$21</f>
        <v>76732.165018117827</v>
      </c>
      <c r="N234" s="7">
        <f>$B234*'Distributor Payments'!L$21</f>
        <v>76732.165018117827</v>
      </c>
      <c r="O234" s="7">
        <f>$B234*'Distributor Payments'!M$21</f>
        <v>76732.165018117827</v>
      </c>
      <c r="P234" s="7">
        <f>$B234*'Distributor Payments'!N$21</f>
        <v>64501.128614664049</v>
      </c>
      <c r="Q234" s="7">
        <f>$B234*'Distributor Payments'!O$21</f>
        <v>64501.128614664049</v>
      </c>
      <c r="R234" s="7">
        <f>$B234*'Distributor Payments'!P$21</f>
        <v>64501.128614664049</v>
      </c>
      <c r="S234" s="7">
        <f>$B234*'Distributor Payments'!Q$21</f>
        <v>64501.128614664049</v>
      </c>
      <c r="T234" s="7">
        <f>$B234*'Distributor Payments'!R$21</f>
        <v>64501.128614664049</v>
      </c>
      <c r="U234" s="7">
        <f>$B234*'Distributor Payments'!S$21</f>
        <v>64501.128614664049</v>
      </c>
      <c r="V234" s="7">
        <f>$B234*'Distributor Payments'!T$21</f>
        <v>64501.128614664049</v>
      </c>
      <c r="W234" s="7">
        <f>$B234*'Distributor Payments'!U$21</f>
        <v>64501.128614664049</v>
      </c>
      <c r="X234" s="7">
        <f>B234*'Distributor Payments'!$V$21</f>
        <v>15788.267567364182</v>
      </c>
      <c r="Y234" s="7">
        <v>0</v>
      </c>
      <c r="Z234" s="7">
        <f t="shared" si="3"/>
        <v>1100399.7415590456</v>
      </c>
    </row>
    <row r="235" spans="1:26" customFormat="1" x14ac:dyDescent="0.35">
      <c r="A235" s="3" t="s">
        <v>77</v>
      </c>
      <c r="B235" s="6">
        <v>1.1028617297600002E-3</v>
      </c>
      <c r="C235" s="8" t="s">
        <v>258</v>
      </c>
      <c r="D235" s="33" t="s">
        <v>336</v>
      </c>
      <c r="E235" s="25">
        <v>7954.46</v>
      </c>
      <c r="F235" s="25">
        <v>8671.91</v>
      </c>
      <c r="G235" s="28">
        <v>8671.91</v>
      </c>
      <c r="H235" s="28">
        <v>18522.599999999999</v>
      </c>
      <c r="I235" s="28">
        <v>8152.68</v>
      </c>
      <c r="J235" s="7">
        <f>$B235*'Distributor Payments'!H$21</f>
        <v>18522.604417903007</v>
      </c>
      <c r="K235" s="7">
        <f>$B235*'Distributor Payments'!I$21</f>
        <v>18522.60441772535</v>
      </c>
      <c r="L235" s="7">
        <f>$B235*'Distributor Payments'!J$21</f>
        <v>7057.1122828057532</v>
      </c>
      <c r="M235" s="7">
        <f>$B235*'Distributor Payments'!K$21</f>
        <v>21784.81443749664</v>
      </c>
      <c r="N235" s="7">
        <f>$B235*'Distributor Payments'!L$21</f>
        <v>21784.81443749664</v>
      </c>
      <c r="O235" s="7">
        <f>$B235*'Distributor Payments'!M$21</f>
        <v>21784.81443749664</v>
      </c>
      <c r="P235" s="7">
        <f>$B235*'Distributor Payments'!N$21</f>
        <v>18312.335088522283</v>
      </c>
      <c r="Q235" s="7">
        <f>$B235*'Distributor Payments'!O$21</f>
        <v>18312.335088522283</v>
      </c>
      <c r="R235" s="7">
        <f>$B235*'Distributor Payments'!P$21</f>
        <v>18312.335088522283</v>
      </c>
      <c r="S235" s="7">
        <f>$B235*'Distributor Payments'!Q$21</f>
        <v>18312.335088522283</v>
      </c>
      <c r="T235" s="7">
        <f>$B235*'Distributor Payments'!R$21</f>
        <v>18312.335088522283</v>
      </c>
      <c r="U235" s="7">
        <f>$B235*'Distributor Payments'!S$21</f>
        <v>18312.335088522283</v>
      </c>
      <c r="V235" s="7">
        <f>$B235*'Distributor Payments'!T$21</f>
        <v>18312.335088522283</v>
      </c>
      <c r="W235" s="7">
        <f>$B235*'Distributor Payments'!U$21</f>
        <v>18312.335088522283</v>
      </c>
      <c r="X235" s="7">
        <f>B235*'Distributor Payments'!$V$21</f>
        <v>4482.4029031810032</v>
      </c>
      <c r="Y235" s="7">
        <v>0</v>
      </c>
      <c r="Z235" s="7">
        <f t="shared" si="3"/>
        <v>312411.40804228332</v>
      </c>
    </row>
    <row r="236" spans="1:26" customFormat="1" x14ac:dyDescent="0.35">
      <c r="A236" s="3" t="s">
        <v>259</v>
      </c>
      <c r="B236" s="6">
        <v>4.4222389828674479E-4</v>
      </c>
      <c r="C236" s="8" t="s">
        <v>259</v>
      </c>
      <c r="D236" s="33" t="s">
        <v>336</v>
      </c>
      <c r="E236" s="25">
        <v>3287.67</v>
      </c>
      <c r="F236" s="25">
        <v>3584.2</v>
      </c>
      <c r="G236" s="28">
        <v>3584.2</v>
      </c>
      <c r="H236" s="28">
        <v>7427.17</v>
      </c>
      <c r="I236" s="28">
        <v>3269.05</v>
      </c>
      <c r="J236" s="7">
        <f>$B236*'Distributor Payments'!H$21</f>
        <v>7427.1670791322749</v>
      </c>
      <c r="K236" s="7">
        <f>$B236*'Distributor Payments'!I$21</f>
        <v>7427.1670790610387</v>
      </c>
      <c r="L236" s="7">
        <f>$B236*'Distributor Payments'!J$21</f>
        <v>2829.7506569828738</v>
      </c>
      <c r="M236" s="7">
        <f>$B236*'Distributor Payments'!K$21</f>
        <v>8735.2433256520562</v>
      </c>
      <c r="N236" s="7">
        <f>$B236*'Distributor Payments'!L$21</f>
        <v>8735.2433256520562</v>
      </c>
      <c r="O236" s="7">
        <f>$B236*'Distributor Payments'!M$21</f>
        <v>8735.2433256520562</v>
      </c>
      <c r="P236" s="7">
        <f>$B236*'Distributor Payments'!N$21</f>
        <v>7342.8535881299904</v>
      </c>
      <c r="Q236" s="7">
        <f>$B236*'Distributor Payments'!O$21</f>
        <v>7342.8535881299904</v>
      </c>
      <c r="R236" s="7">
        <f>$B236*'Distributor Payments'!P$21</f>
        <v>7342.8535881299904</v>
      </c>
      <c r="S236" s="7">
        <f>$B236*'Distributor Payments'!Q$21</f>
        <v>7342.8535881299904</v>
      </c>
      <c r="T236" s="7">
        <f>$B236*'Distributor Payments'!R$21</f>
        <v>7342.8535881299904</v>
      </c>
      <c r="U236" s="7">
        <f>$B236*'Distributor Payments'!S$21</f>
        <v>7342.8535881299904</v>
      </c>
      <c r="V236" s="7">
        <f>$B236*'Distributor Payments'!T$21</f>
        <v>7342.8535881299904</v>
      </c>
      <c r="W236" s="7">
        <f>$B236*'Distributor Payments'!U$21</f>
        <v>7342.8535881299904</v>
      </c>
      <c r="X236" s="7">
        <f>B236*'Distributor Payments'!$V$21</f>
        <v>1797.3474208483856</v>
      </c>
      <c r="Y236" s="7">
        <v>0</v>
      </c>
      <c r="Z236" s="7">
        <f t="shared" si="3"/>
        <v>125582.28091802067</v>
      </c>
    </row>
    <row r="237" spans="1:26" customFormat="1" x14ac:dyDescent="0.35">
      <c r="A237" s="3" t="s">
        <v>28</v>
      </c>
      <c r="B237" s="6">
        <v>2.8859903906545211E-5</v>
      </c>
      <c r="C237" s="8" t="s">
        <v>260</v>
      </c>
      <c r="D237" s="33" t="s">
        <v>336</v>
      </c>
      <c r="E237" s="25">
        <v>214.56</v>
      </c>
      <c r="F237" s="25">
        <v>233.91</v>
      </c>
      <c r="G237" s="28">
        <v>233.91</v>
      </c>
      <c r="H237" s="28">
        <v>484.7</v>
      </c>
      <c r="I237" s="28">
        <v>213.34</v>
      </c>
      <c r="J237" s="7">
        <f>$B237*'Distributor Payments'!H$21</f>
        <v>484.70317644983402</v>
      </c>
      <c r="K237" s="7">
        <f>$B237*'Distributor Payments'!I$21</f>
        <v>484.70317644518514</v>
      </c>
      <c r="L237" s="7">
        <f>$B237*'Distributor Payments'!J$21</f>
        <v>184.67191021651934</v>
      </c>
      <c r="M237" s="7">
        <f>$B237*'Distributor Payments'!K$21</f>
        <v>570.06933355542981</v>
      </c>
      <c r="N237" s="7">
        <f>$B237*'Distributor Payments'!L$21</f>
        <v>570.06933355542981</v>
      </c>
      <c r="O237" s="7">
        <f>$B237*'Distributor Payments'!M$21</f>
        <v>570.06933355542981</v>
      </c>
      <c r="P237" s="7">
        <f>$B237*'Distributor Payments'!N$21</f>
        <v>479.20080704424959</v>
      </c>
      <c r="Q237" s="7">
        <f>$B237*'Distributor Payments'!O$21</f>
        <v>479.20080704424959</v>
      </c>
      <c r="R237" s="7">
        <f>$B237*'Distributor Payments'!P$21</f>
        <v>479.20080704424959</v>
      </c>
      <c r="S237" s="7">
        <f>$B237*'Distributor Payments'!Q$21</f>
        <v>479.20080704424959</v>
      </c>
      <c r="T237" s="7">
        <f>$B237*'Distributor Payments'!R$21</f>
        <v>479.20080704424959</v>
      </c>
      <c r="U237" s="7">
        <f>$B237*'Distributor Payments'!S$21</f>
        <v>479.20080704424959</v>
      </c>
      <c r="V237" s="7">
        <f>$B237*'Distributor Payments'!T$21</f>
        <v>479.20080704424959</v>
      </c>
      <c r="W237" s="7">
        <f>$B237*'Distributor Payments'!U$21</f>
        <v>479.20080704424959</v>
      </c>
      <c r="X237" s="7">
        <f>B237*'Distributor Payments'!$V$21</f>
        <v>117.29640585531439</v>
      </c>
      <c r="Y237" s="7">
        <v>0</v>
      </c>
      <c r="Z237" s="7">
        <f t="shared" si="3"/>
        <v>8195.6091259871409</v>
      </c>
    </row>
    <row r="238" spans="1:26" customFormat="1" x14ac:dyDescent="0.35">
      <c r="A238" s="3" t="s">
        <v>75</v>
      </c>
      <c r="B238" s="6">
        <v>2.8371065529744356E-3</v>
      </c>
      <c r="C238" s="8" t="s">
        <v>261</v>
      </c>
      <c r="D238" s="33" t="s">
        <v>336</v>
      </c>
      <c r="E238" s="25">
        <v>21092.21</v>
      </c>
      <c r="F238" s="29">
        <v>22994.62</v>
      </c>
      <c r="G238" s="28">
        <v>22994.62</v>
      </c>
      <c r="H238" s="28">
        <v>47649.31</v>
      </c>
      <c r="I238" s="28">
        <v>20972.73</v>
      </c>
      <c r="J238" s="7">
        <f>$B238*'Distributor Payments'!H$21</f>
        <v>47649.311744294253</v>
      </c>
      <c r="K238" s="7">
        <f>$B238*'Distributor Payments'!I$21</f>
        <v>47649.311743837236</v>
      </c>
      <c r="L238" s="7">
        <f>$B238*'Distributor Payments'!J$21</f>
        <v>18154.387773507773</v>
      </c>
      <c r="M238" s="7">
        <f>$B238*'Distributor Payments'!K$21</f>
        <v>56041.331499827924</v>
      </c>
      <c r="N238" s="7">
        <f>$B238*'Distributor Payments'!L$21</f>
        <v>56041.331499827924</v>
      </c>
      <c r="O238" s="7">
        <f>$B238*'Distributor Payments'!M$21</f>
        <v>56041.331499827924</v>
      </c>
      <c r="P238" s="7">
        <f>$B238*'Distributor Payments'!N$21</f>
        <v>47108.394894812664</v>
      </c>
      <c r="Q238" s="7">
        <f>$B238*'Distributor Payments'!O$21</f>
        <v>47108.394894812664</v>
      </c>
      <c r="R238" s="7">
        <f>$B238*'Distributor Payments'!P$21</f>
        <v>47108.394894812664</v>
      </c>
      <c r="S238" s="7">
        <f>$B238*'Distributor Payments'!Q$21</f>
        <v>47108.394894812664</v>
      </c>
      <c r="T238" s="7">
        <f>$B238*'Distributor Payments'!R$21</f>
        <v>47108.394894812664</v>
      </c>
      <c r="U238" s="7">
        <f>$B238*'Distributor Payments'!S$21</f>
        <v>47108.394894812664</v>
      </c>
      <c r="V238" s="7">
        <f>$B238*'Distributor Payments'!T$21</f>
        <v>47108.394894812664</v>
      </c>
      <c r="W238" s="7">
        <f>$B238*'Distributor Payments'!U$21</f>
        <v>47108.394894812664</v>
      </c>
      <c r="X238" s="7">
        <f>B238*'Distributor Payments'!$V$21</f>
        <v>11530.960143529404</v>
      </c>
      <c r="Y238" s="7">
        <v>0</v>
      </c>
      <c r="Z238" s="7">
        <f t="shared" si="3"/>
        <v>805678.61506315402</v>
      </c>
    </row>
    <row r="239" spans="1:26" customFormat="1" x14ac:dyDescent="0.35">
      <c r="A239" s="3" t="s">
        <v>234</v>
      </c>
      <c r="B239" s="6">
        <v>8.1260410302400003E-3</v>
      </c>
      <c r="C239" s="8" t="s">
        <v>234</v>
      </c>
      <c r="D239" s="33" t="s">
        <v>336</v>
      </c>
      <c r="E239" s="25">
        <v>58609.57</v>
      </c>
      <c r="F239" s="25">
        <v>63895.87</v>
      </c>
      <c r="G239" s="28">
        <v>63895.87</v>
      </c>
      <c r="H239" s="28">
        <v>136477.17000000001</v>
      </c>
      <c r="I239" s="28">
        <v>60070.09</v>
      </c>
      <c r="J239" s="7">
        <f>$B239*'Distributor Payments'!H$21</f>
        <v>136477.16610815667</v>
      </c>
      <c r="K239" s="7">
        <f>$B239*'Distributor Payments'!I$21</f>
        <v>136477.16610684767</v>
      </c>
      <c r="L239" s="7">
        <f>$B239*'Distributor Payments'!J$21</f>
        <v>51997.800284147757</v>
      </c>
      <c r="M239" s="7">
        <f>$B239*'Distributor Payments'!K$21</f>
        <v>160513.59039703524</v>
      </c>
      <c r="N239" s="7">
        <f>$B239*'Distributor Payments'!L$21</f>
        <v>160513.59039703524</v>
      </c>
      <c r="O239" s="7">
        <f>$B239*'Distributor Payments'!M$21</f>
        <v>160513.59039703524</v>
      </c>
      <c r="P239" s="7">
        <f>$B239*'Distributor Payments'!N$21</f>
        <v>134927.87198375119</v>
      </c>
      <c r="Q239" s="7">
        <f>$B239*'Distributor Payments'!O$21</f>
        <v>134927.87198375119</v>
      </c>
      <c r="R239" s="7">
        <f>$B239*'Distributor Payments'!P$21</f>
        <v>134927.87198375119</v>
      </c>
      <c r="S239" s="7">
        <f>$B239*'Distributor Payments'!Q$21</f>
        <v>134927.87198375119</v>
      </c>
      <c r="T239" s="7">
        <f>$B239*'Distributor Payments'!R$21</f>
        <v>134927.87198375119</v>
      </c>
      <c r="U239" s="7">
        <f>$B239*'Distributor Payments'!S$21</f>
        <v>134927.87198375119</v>
      </c>
      <c r="V239" s="7">
        <f>$B239*'Distributor Payments'!T$21</f>
        <v>134927.87198375119</v>
      </c>
      <c r="W239" s="7">
        <f>$B239*'Distributor Payments'!U$21</f>
        <v>134927.87198375119</v>
      </c>
      <c r="X239" s="7">
        <f>B239*'Distributor Payments'!$V$21</f>
        <v>33026.977836326041</v>
      </c>
      <c r="Y239" s="7">
        <v>0</v>
      </c>
      <c r="Z239" s="7">
        <f t="shared" si="3"/>
        <v>2301891.4273965936</v>
      </c>
    </row>
    <row r="240" spans="1:26" customFormat="1" x14ac:dyDescent="0.35">
      <c r="A240" s="3" t="s">
        <v>34</v>
      </c>
      <c r="B240" s="6">
        <v>1.4503783443063924E-4</v>
      </c>
      <c r="C240" s="8" t="s">
        <v>262</v>
      </c>
      <c r="D240" s="33" t="s">
        <v>336</v>
      </c>
      <c r="E240" s="25">
        <v>1078.27</v>
      </c>
      <c r="F240" s="25">
        <v>1175.53</v>
      </c>
      <c r="G240" s="28">
        <v>1175.53</v>
      </c>
      <c r="H240" s="28">
        <v>2435.92</v>
      </c>
      <c r="I240" s="28">
        <v>1072.1600000000001</v>
      </c>
      <c r="J240" s="7">
        <f>$B240*'Distributor Payments'!H$21</f>
        <v>2435.915908853472</v>
      </c>
      <c r="K240" s="7">
        <f>$B240*'Distributor Payments'!I$21</f>
        <v>2435.9159088301085</v>
      </c>
      <c r="L240" s="7">
        <f>$B240*'Distributor Payments'!J$21</f>
        <v>928.08396121855765</v>
      </c>
      <c r="M240" s="7">
        <f>$B240*'Distributor Payments'!K$21</f>
        <v>2864.9305930448959</v>
      </c>
      <c r="N240" s="7">
        <f>$B240*'Distributor Payments'!L$21</f>
        <v>2864.9305930448959</v>
      </c>
      <c r="O240" s="7">
        <f>$B240*'Distributor Payments'!M$21</f>
        <v>2864.9305930448959</v>
      </c>
      <c r="P240" s="7">
        <f>$B240*'Distributor Payments'!N$21</f>
        <v>2408.2632962388338</v>
      </c>
      <c r="Q240" s="7">
        <f>$B240*'Distributor Payments'!O$21</f>
        <v>2408.2632962388338</v>
      </c>
      <c r="R240" s="7">
        <f>$B240*'Distributor Payments'!P$21</f>
        <v>2408.2632962388338</v>
      </c>
      <c r="S240" s="7">
        <f>$B240*'Distributor Payments'!Q$21</f>
        <v>2408.2632962388338</v>
      </c>
      <c r="T240" s="7">
        <f>$B240*'Distributor Payments'!R$21</f>
        <v>2408.2632962388338</v>
      </c>
      <c r="U240" s="7">
        <f>$B240*'Distributor Payments'!S$21</f>
        <v>2408.2632962388338</v>
      </c>
      <c r="V240" s="7">
        <f>$B240*'Distributor Payments'!T$21</f>
        <v>2408.2632962388338</v>
      </c>
      <c r="W240" s="7">
        <f>$B240*'Distributor Payments'!U$21</f>
        <v>2408.2632962388338</v>
      </c>
      <c r="X240" s="7">
        <f>B240*'Distributor Payments'!$V$21</f>
        <v>589.48279061642552</v>
      </c>
      <c r="Y240" s="7">
        <v>0</v>
      </c>
      <c r="Z240" s="7">
        <f t="shared" si="3"/>
        <v>41187.706718563917</v>
      </c>
    </row>
    <row r="241" spans="1:26" customFormat="1" x14ac:dyDescent="0.35">
      <c r="A241" s="3" t="s">
        <v>34</v>
      </c>
      <c r="B241" s="6">
        <v>2.2034634030822409E-3</v>
      </c>
      <c r="C241" s="8" t="s">
        <v>263</v>
      </c>
      <c r="D241" s="33" t="s">
        <v>336</v>
      </c>
      <c r="E241" s="25">
        <v>16381.44</v>
      </c>
      <c r="F241" s="25">
        <v>17858.97</v>
      </c>
      <c r="G241" s="28">
        <v>17858.97</v>
      </c>
      <c r="H241" s="28">
        <v>37007.25</v>
      </c>
      <c r="I241" s="28">
        <v>16288.65</v>
      </c>
      <c r="J241" s="7">
        <f>$B241*'Distributor Payments'!H$21</f>
        <v>37007.251102547954</v>
      </c>
      <c r="K241" s="7">
        <f>$B241*'Distributor Payments'!I$21</f>
        <v>37007.251102193004</v>
      </c>
      <c r="L241" s="7">
        <f>$B241*'Distributor Payments'!J$21</f>
        <v>14099.762669241038</v>
      </c>
      <c r="M241" s="7">
        <f>$B241*'Distributor Payments'!K$21</f>
        <v>43524.986007454871</v>
      </c>
      <c r="N241" s="7">
        <f>$B241*'Distributor Payments'!L$21</f>
        <v>43524.986007454871</v>
      </c>
      <c r="O241" s="7">
        <f>$B241*'Distributor Payments'!M$21</f>
        <v>43524.986007454871</v>
      </c>
      <c r="P241" s="7">
        <f>$B241*'Distributor Payments'!N$21</f>
        <v>36587.143341458177</v>
      </c>
      <c r="Q241" s="7">
        <f>$B241*'Distributor Payments'!O$21</f>
        <v>36587.143341458177</v>
      </c>
      <c r="R241" s="7">
        <f>$B241*'Distributor Payments'!P$21</f>
        <v>36587.143341458177</v>
      </c>
      <c r="S241" s="7">
        <f>$B241*'Distributor Payments'!Q$21</f>
        <v>36587.143341458177</v>
      </c>
      <c r="T241" s="7">
        <f>$B241*'Distributor Payments'!R$21</f>
        <v>36587.143341458177</v>
      </c>
      <c r="U241" s="7">
        <f>$B241*'Distributor Payments'!S$21</f>
        <v>36587.143341458177</v>
      </c>
      <c r="V241" s="7">
        <f>$B241*'Distributor Payments'!T$21</f>
        <v>36587.143341458177</v>
      </c>
      <c r="W241" s="7">
        <f>$B241*'Distributor Payments'!U$21</f>
        <v>36587.143341458177</v>
      </c>
      <c r="X241" s="7">
        <f>B241*'Distributor Payments'!$V$21</f>
        <v>8955.6201729642726</v>
      </c>
      <c r="Y241" s="7">
        <v>0</v>
      </c>
      <c r="Z241" s="7">
        <f t="shared" si="3"/>
        <v>625737.26980097627</v>
      </c>
    </row>
    <row r="242" spans="1:26" customFormat="1" x14ac:dyDescent="0.35">
      <c r="A242" s="3" t="s">
        <v>34</v>
      </c>
      <c r="B242" s="6">
        <v>6.233715083998685E-7</v>
      </c>
      <c r="C242" s="8" t="s">
        <v>264</v>
      </c>
      <c r="D242" s="33" t="s">
        <v>338</v>
      </c>
      <c r="E242" s="25">
        <v>167.06</v>
      </c>
      <c r="F242" s="48">
        <v>5.05</v>
      </c>
      <c r="G242" s="49">
        <v>5.05</v>
      </c>
      <c r="H242" s="28">
        <v>0</v>
      </c>
      <c r="I242" s="28">
        <v>0</v>
      </c>
      <c r="J242" s="49">
        <f>$B$242*'Distributor Payments'!H$21</f>
        <v>10.469548034815711</v>
      </c>
      <c r="K242" s="49">
        <f>$B$242*'Distributor Payments'!I$21</f>
        <v>10.469548034715295</v>
      </c>
      <c r="L242" s="49">
        <f>$B$242*'Distributor Payments'!J$21</f>
        <v>3.98889780103005</v>
      </c>
      <c r="M242" s="49">
        <f>$B$242*'Distributor Payments'!K$21</f>
        <v>12.313449881943713</v>
      </c>
      <c r="N242" s="49">
        <f>$B$242*'Distributor Payments'!L$21</f>
        <v>12.313449881943713</v>
      </c>
      <c r="O242" s="49">
        <f>$B$242*'Distributor Payments'!M$21</f>
        <v>12.313449881943713</v>
      </c>
      <c r="P242" s="49">
        <f>$B$242*'Distributor Payments'!N$21</f>
        <v>10.350697316281108</v>
      </c>
      <c r="Q242" s="49">
        <f>$B$242*'Distributor Payments'!O$21</f>
        <v>10.350697316281108</v>
      </c>
      <c r="R242" s="49">
        <f>$B$242*'Distributor Payments'!P$21</f>
        <v>10.350697316281108</v>
      </c>
      <c r="S242" s="49">
        <f>$B$242*'Distributor Payments'!Q$21</f>
        <v>10.350697316281108</v>
      </c>
      <c r="T242" s="49">
        <f>$B$242*'Distributor Payments'!R$21</f>
        <v>10.350697316281108</v>
      </c>
      <c r="U242" s="49">
        <f>$B$242*'Distributor Payments'!S$21</f>
        <v>10.350697316281108</v>
      </c>
      <c r="V242" s="49">
        <f>$B$242*'Distributor Payments'!T$21</f>
        <v>10.350697316281108</v>
      </c>
      <c r="W242" s="49">
        <f>$B$242*'Distributor Payments'!U$21</f>
        <v>10.350697316281108</v>
      </c>
      <c r="X242" s="49">
        <f>$B$242*'Distributor Payments'!V$21</f>
        <v>2.5335925471091953</v>
      </c>
      <c r="Y242" s="7">
        <v>0</v>
      </c>
      <c r="Z242" s="7">
        <f>E242</f>
        <v>167.06</v>
      </c>
    </row>
    <row r="243" spans="1:26" customFormat="1" x14ac:dyDescent="0.35">
      <c r="A243" s="3" t="s">
        <v>22</v>
      </c>
      <c r="B243" s="6">
        <v>4.9759255439966012E-4</v>
      </c>
      <c r="C243" s="8" t="s">
        <v>265</v>
      </c>
      <c r="D243" s="33" t="s">
        <v>336</v>
      </c>
      <c r="E243" s="25">
        <v>3699.31</v>
      </c>
      <c r="F243" s="25">
        <v>4032.97</v>
      </c>
      <c r="G243" s="28">
        <v>4032.97</v>
      </c>
      <c r="H243" s="28">
        <v>8357.09</v>
      </c>
      <c r="I243" s="28">
        <v>3678.35</v>
      </c>
      <c r="J243" s="7">
        <f>$B243*'Distributor Payments'!H$21</f>
        <v>8357.0857503999941</v>
      </c>
      <c r="K243" s="7">
        <f>$B243*'Distributor Payments'!I$21</f>
        <v>8357.0857503198386</v>
      </c>
      <c r="L243" s="7">
        <f>$B243*'Distributor Payments'!J$21</f>
        <v>3184.0496707150251</v>
      </c>
      <c r="M243" s="7">
        <f>$B243*'Distributor Payments'!K$21</f>
        <v>9828.9397216054385</v>
      </c>
      <c r="N243" s="7">
        <f>$B243*'Distributor Payments'!L$21</f>
        <v>9828.9397216054385</v>
      </c>
      <c r="O243" s="7">
        <f>$B243*'Distributor Payments'!M$21</f>
        <v>9828.9397216054385</v>
      </c>
      <c r="P243" s="7">
        <f>$B243*'Distributor Payments'!N$21</f>
        <v>8262.2157862919576</v>
      </c>
      <c r="Q243" s="7">
        <f>$B243*'Distributor Payments'!O$21</f>
        <v>8262.2157862919576</v>
      </c>
      <c r="R243" s="7">
        <f>$B243*'Distributor Payments'!P$21</f>
        <v>8262.2157862919576</v>
      </c>
      <c r="S243" s="7">
        <f>$B243*'Distributor Payments'!Q$21</f>
        <v>8262.2157862919576</v>
      </c>
      <c r="T243" s="7">
        <f>$B243*'Distributor Payments'!R$21</f>
        <v>8262.2157862919576</v>
      </c>
      <c r="U243" s="7">
        <f>$B243*'Distributor Payments'!S$21</f>
        <v>8262.2157862919576</v>
      </c>
      <c r="V243" s="7">
        <f>$B243*'Distributor Payments'!T$21</f>
        <v>8262.2157862919576</v>
      </c>
      <c r="W243" s="7">
        <f>$B243*'Distributor Payments'!U$21</f>
        <v>8262.2157862919576</v>
      </c>
      <c r="X243" s="7">
        <f>B243*'Distributor Payments'!$V$21</f>
        <v>2022.384357219159</v>
      </c>
      <c r="Y243" s="7">
        <v>0</v>
      </c>
      <c r="Z243" s="7">
        <f t="shared" si="3"/>
        <v>141305.84098380597</v>
      </c>
    </row>
    <row r="244" spans="1:26" customFormat="1" x14ac:dyDescent="0.35">
      <c r="A244" s="3" t="s">
        <v>24</v>
      </c>
      <c r="B244" s="6">
        <v>5.822653495464015E-5</v>
      </c>
      <c r="C244" s="8" t="s">
        <v>266</v>
      </c>
      <c r="D244" s="33" t="s">
        <v>336</v>
      </c>
      <c r="E244" s="25">
        <v>432.88</v>
      </c>
      <c r="F244" s="25">
        <v>471.92</v>
      </c>
      <c r="G244" s="28">
        <v>471.92</v>
      </c>
      <c r="H244" s="28">
        <v>977.92</v>
      </c>
      <c r="I244" s="28">
        <v>430.43</v>
      </c>
      <c r="J244" s="7">
        <f>$B244*'Distributor Payments'!H$21</f>
        <v>977.91685438636205</v>
      </c>
      <c r="K244" s="7">
        <f>$B244*'Distributor Payments'!I$21</f>
        <v>977.91685437698266</v>
      </c>
      <c r="L244" s="7">
        <f>$B244*'Distributor Payments'!J$21</f>
        <v>372.58632149927826</v>
      </c>
      <c r="M244" s="7">
        <f>$B244*'Distributor Payments'!K$21</f>
        <v>1150.1480422221948</v>
      </c>
      <c r="N244" s="7">
        <f>$B244*'Distributor Payments'!L$21</f>
        <v>1150.1480422221948</v>
      </c>
      <c r="O244" s="7">
        <f>$B244*'Distributor Payments'!M$21</f>
        <v>1150.1480422221948</v>
      </c>
      <c r="P244" s="7">
        <f>$B244*'Distributor Payments'!N$21</f>
        <v>966.81550402964979</v>
      </c>
      <c r="Q244" s="7">
        <f>$B244*'Distributor Payments'!O$21</f>
        <v>966.81550402964979</v>
      </c>
      <c r="R244" s="7">
        <f>$B244*'Distributor Payments'!P$21</f>
        <v>966.81550402964979</v>
      </c>
      <c r="S244" s="7">
        <f>$B244*'Distributor Payments'!Q$21</f>
        <v>966.81550402964979</v>
      </c>
      <c r="T244" s="7">
        <f>$B244*'Distributor Payments'!R$21</f>
        <v>966.81550402964979</v>
      </c>
      <c r="U244" s="7">
        <f>$B244*'Distributor Payments'!S$21</f>
        <v>966.81550402964979</v>
      </c>
      <c r="V244" s="7">
        <f>$B244*'Distributor Payments'!T$21</f>
        <v>966.81550402964979</v>
      </c>
      <c r="W244" s="7">
        <f>$B244*'Distributor Payments'!U$21</f>
        <v>966.81550402964979</v>
      </c>
      <c r="X244" s="7">
        <f>B244*'Distributor Payments'!$V$21</f>
        <v>236.65232211806435</v>
      </c>
      <c r="Y244" s="7">
        <v>0</v>
      </c>
      <c r="Z244" s="7">
        <f t="shared" si="3"/>
        <v>16535.110511284471</v>
      </c>
    </row>
    <row r="245" spans="1:26" customFormat="1" x14ac:dyDescent="0.35">
      <c r="A245" s="3" t="s">
        <v>34</v>
      </c>
      <c r="B245" s="6">
        <v>2.5038766695741938E-5</v>
      </c>
      <c r="C245" s="8" t="s">
        <v>267</v>
      </c>
      <c r="D245" s="33" t="s">
        <v>336</v>
      </c>
      <c r="E245" s="25">
        <v>186.15</v>
      </c>
      <c r="F245" s="29">
        <v>202.94</v>
      </c>
      <c r="G245" s="28">
        <v>202.94</v>
      </c>
      <c r="H245" s="28">
        <v>420.53</v>
      </c>
      <c r="I245" s="28">
        <v>185.09</v>
      </c>
      <c r="J245" s="7">
        <f>$B245*'Distributor Payments'!H$21</f>
        <v>420.52703263020896</v>
      </c>
      <c r="K245" s="7">
        <f>$B245*'Distributor Payments'!I$21</f>
        <v>420.52703262617558</v>
      </c>
      <c r="L245" s="7">
        <f>$B245*'Distributor Payments'!J$21</f>
        <v>160.22079942268107</v>
      </c>
      <c r="M245" s="7">
        <f>$B245*'Distributor Payments'!K$21</f>
        <v>494.59045634778772</v>
      </c>
      <c r="N245" s="7">
        <f>$B245*'Distributor Payments'!L$21</f>
        <v>494.59045634778772</v>
      </c>
      <c r="O245" s="7">
        <f>$B245*'Distributor Payments'!M$21</f>
        <v>494.59045634778772</v>
      </c>
      <c r="P245" s="7">
        <f>$B245*'Distributor Payments'!N$21</f>
        <v>415.75319331784129</v>
      </c>
      <c r="Q245" s="7">
        <f>$B245*'Distributor Payments'!O$21</f>
        <v>415.75319331784129</v>
      </c>
      <c r="R245" s="7">
        <f>$B245*'Distributor Payments'!P$21</f>
        <v>415.75319331784129</v>
      </c>
      <c r="S245" s="7">
        <f>$B245*'Distributor Payments'!Q$21</f>
        <v>415.75319331784129</v>
      </c>
      <c r="T245" s="7">
        <f>$B245*'Distributor Payments'!R$21</f>
        <v>415.75319331784129</v>
      </c>
      <c r="U245" s="7">
        <f>$B245*'Distributor Payments'!S$21</f>
        <v>415.75319331784129</v>
      </c>
      <c r="V245" s="7">
        <f>$B245*'Distributor Payments'!T$21</f>
        <v>415.75319331784129</v>
      </c>
      <c r="W245" s="7">
        <f>$B245*'Distributor Payments'!U$21</f>
        <v>415.75319331784129</v>
      </c>
      <c r="X245" s="7">
        <f>B245*'Distributor Payments'!$V$21</f>
        <v>101.7660124569644</v>
      </c>
      <c r="Y245" s="7">
        <v>0</v>
      </c>
      <c r="Z245" s="7">
        <f t="shared" si="3"/>
        <v>7110.4877927221269</v>
      </c>
    </row>
    <row r="246" spans="1:26" customFormat="1" x14ac:dyDescent="0.35">
      <c r="A246" s="3" t="s">
        <v>121</v>
      </c>
      <c r="B246" s="6">
        <v>2.2355271010240003E-2</v>
      </c>
      <c r="C246" s="8" t="s">
        <v>121</v>
      </c>
      <c r="D246" s="33" t="s">
        <v>336</v>
      </c>
      <c r="E246" s="25">
        <v>161238.76</v>
      </c>
      <c r="F246" s="25">
        <v>175781.72</v>
      </c>
      <c r="G246" s="28">
        <v>175781.72</v>
      </c>
      <c r="H246" s="28">
        <v>375457.62</v>
      </c>
      <c r="I246" s="28">
        <v>165256.76</v>
      </c>
      <c r="J246" s="7">
        <f>$B246*'Distributor Payments'!H$21</f>
        <v>375457.62120859907</v>
      </c>
      <c r="K246" s="7">
        <f>$B246*'Distributor Payments'!I$21</f>
        <v>375457.62120499794</v>
      </c>
      <c r="L246" s="7">
        <f>$B246*'Distributor Payments'!J$21</f>
        <v>143049.35367205818</v>
      </c>
      <c r="M246" s="7">
        <f>$B246*'Distributor Payments'!K$21</f>
        <v>441583.39845921251</v>
      </c>
      <c r="N246" s="7">
        <f>$B246*'Distributor Payments'!L$21</f>
        <v>441583.39845921251</v>
      </c>
      <c r="O246" s="7">
        <f>$B246*'Distributor Payments'!M$21</f>
        <v>441583.39845921251</v>
      </c>
      <c r="P246" s="7">
        <f>$B246*'Distributor Payments'!N$21</f>
        <v>371195.41161640437</v>
      </c>
      <c r="Q246" s="7">
        <f>$B246*'Distributor Payments'!O$21</f>
        <v>371195.41161640437</v>
      </c>
      <c r="R246" s="7">
        <f>$B246*'Distributor Payments'!P$21</f>
        <v>371195.41161640437</v>
      </c>
      <c r="S246" s="7">
        <f>$B246*'Distributor Payments'!Q$21</f>
        <v>371195.41161640437</v>
      </c>
      <c r="T246" s="7">
        <f>$B246*'Distributor Payments'!R$21</f>
        <v>371195.41161640437</v>
      </c>
      <c r="U246" s="7">
        <f>$B246*'Distributor Payments'!S$21</f>
        <v>371195.41161640437</v>
      </c>
      <c r="V246" s="7">
        <f>$B246*'Distributor Payments'!T$21</f>
        <v>371195.41161640437</v>
      </c>
      <c r="W246" s="7">
        <f>$B246*'Distributor Payments'!U$21</f>
        <v>371195.41161640437</v>
      </c>
      <c r="X246" s="7">
        <f>B246*'Distributor Payments'!$V$21</f>
        <v>90859.378808533089</v>
      </c>
      <c r="Y246" s="7">
        <v>0</v>
      </c>
      <c r="Z246" s="7">
        <f t="shared" si="3"/>
        <v>6332654.0432030614</v>
      </c>
    </row>
    <row r="247" spans="1:26" customFormat="1" x14ac:dyDescent="0.35">
      <c r="A247" s="3" t="s">
        <v>268</v>
      </c>
      <c r="B247" s="6">
        <v>2.3891487284155586E-3</v>
      </c>
      <c r="C247" s="8" t="s">
        <v>268</v>
      </c>
      <c r="D247" s="33" t="s">
        <v>336</v>
      </c>
      <c r="E247" s="25">
        <v>17761.900000000001</v>
      </c>
      <c r="F247" s="25">
        <v>19363.939999999999</v>
      </c>
      <c r="G247" s="28">
        <v>19363.939999999999</v>
      </c>
      <c r="H247" s="28">
        <v>40125.839999999997</v>
      </c>
      <c r="I247" s="28">
        <v>17661.29</v>
      </c>
      <c r="J247" s="7">
        <f>$B247*'Distributor Payments'!H$21</f>
        <v>40125.84315679135</v>
      </c>
      <c r="K247" s="7">
        <f>$B247*'Distributor Payments'!I$21</f>
        <v>40125.843156406496</v>
      </c>
      <c r="L247" s="7">
        <f>$B247*'Distributor Payments'!J$21</f>
        <v>15287.94624183785</v>
      </c>
      <c r="M247" s="7">
        <f>$B247*'Distributor Payments'!K$21</f>
        <v>47192.825997725275</v>
      </c>
      <c r="N247" s="7">
        <f>$B247*'Distributor Payments'!L$21</f>
        <v>47192.825997725275</v>
      </c>
      <c r="O247" s="7">
        <f>$B247*'Distributor Payments'!M$21</f>
        <v>47192.825997725275</v>
      </c>
      <c r="P247" s="7">
        <f>$B247*'Distributor Payments'!N$21</f>
        <v>39670.333016799392</v>
      </c>
      <c r="Q247" s="7">
        <f>$B247*'Distributor Payments'!O$21</f>
        <v>39670.333016799392</v>
      </c>
      <c r="R247" s="7">
        <f>$B247*'Distributor Payments'!P$21</f>
        <v>39670.333016799392</v>
      </c>
      <c r="S247" s="7">
        <f>$B247*'Distributor Payments'!Q$21</f>
        <v>39670.333016799392</v>
      </c>
      <c r="T247" s="7">
        <f>$B247*'Distributor Payments'!R$21</f>
        <v>39670.333016799392</v>
      </c>
      <c r="U247" s="7">
        <f>$B247*'Distributor Payments'!S$21</f>
        <v>39670.333016799392</v>
      </c>
      <c r="V247" s="7">
        <f>$B247*'Distributor Payments'!T$21</f>
        <v>39670.333016799392</v>
      </c>
      <c r="W247" s="7">
        <f>$B247*'Distributor Payments'!U$21</f>
        <v>39670.333016799392</v>
      </c>
      <c r="X247" s="7">
        <f>B247*'Distributor Payments'!$V$21</f>
        <v>9710.3081078999585</v>
      </c>
      <c r="Y247" s="7">
        <v>0</v>
      </c>
      <c r="Z247" s="7">
        <f t="shared" si="3"/>
        <v>678467.9927905068</v>
      </c>
    </row>
    <row r="248" spans="1:26" customFormat="1" x14ac:dyDescent="0.35">
      <c r="A248" s="3" t="s">
        <v>75</v>
      </c>
      <c r="B248" s="6">
        <v>1.9037739352120678E-3</v>
      </c>
      <c r="C248" s="8" t="s">
        <v>269</v>
      </c>
      <c r="D248" s="33" t="s">
        <v>336</v>
      </c>
      <c r="E248" s="25">
        <v>14153.43</v>
      </c>
      <c r="F248" s="25">
        <v>15430</v>
      </c>
      <c r="G248" s="28">
        <v>15430</v>
      </c>
      <c r="H248" s="28">
        <v>31973.96</v>
      </c>
      <c r="I248" s="28">
        <v>14073.26</v>
      </c>
      <c r="J248" s="7">
        <f>$B248*'Distributor Payments'!H$21</f>
        <v>31973.95516727322</v>
      </c>
      <c r="K248" s="7">
        <f>$B248*'Distributor Payments'!I$21</f>
        <v>31973.955166966549</v>
      </c>
      <c r="L248" s="7">
        <f>$B248*'Distributor Payments'!J$21</f>
        <v>12182.076918014214</v>
      </c>
      <c r="M248" s="7">
        <f>$B248*'Distributor Payments'!K$21</f>
        <v>37605.223565571447</v>
      </c>
      <c r="N248" s="7">
        <f>$B248*'Distributor Payments'!L$21</f>
        <v>37605.223565571447</v>
      </c>
      <c r="O248" s="7">
        <f>$B248*'Distributor Payments'!M$21</f>
        <v>37605.223565571447</v>
      </c>
      <c r="P248" s="7">
        <f>$B248*'Distributor Payments'!N$21</f>
        <v>31610.985578386808</v>
      </c>
      <c r="Q248" s="7">
        <f>$B248*'Distributor Payments'!O$21</f>
        <v>31610.985578386808</v>
      </c>
      <c r="R248" s="7">
        <f>$B248*'Distributor Payments'!P$21</f>
        <v>31610.985578386808</v>
      </c>
      <c r="S248" s="7">
        <f>$B248*'Distributor Payments'!Q$21</f>
        <v>31610.985578386808</v>
      </c>
      <c r="T248" s="7">
        <f>$B248*'Distributor Payments'!R$21</f>
        <v>31610.985578386808</v>
      </c>
      <c r="U248" s="7">
        <f>$B248*'Distributor Payments'!S$21</f>
        <v>31610.985578386808</v>
      </c>
      <c r="V248" s="7">
        <f>$B248*'Distributor Payments'!T$21</f>
        <v>31610.985578386808</v>
      </c>
      <c r="W248" s="7">
        <f>$B248*'Distributor Payments'!U$21</f>
        <v>31610.985578386808</v>
      </c>
      <c r="X248" s="7">
        <f>B248*'Distributor Payments'!$V$21</f>
        <v>7737.5808625183818</v>
      </c>
      <c r="Y248" s="7">
        <v>0</v>
      </c>
      <c r="Z248" s="7">
        <f t="shared" si="3"/>
        <v>540631.77343858115</v>
      </c>
    </row>
    <row r="249" spans="1:26" customFormat="1" x14ac:dyDescent="0.35">
      <c r="A249" s="3" t="s">
        <v>75</v>
      </c>
      <c r="B249" s="6">
        <v>1.016015764716E-2</v>
      </c>
      <c r="C249" s="8" t="s">
        <v>271</v>
      </c>
      <c r="D249" s="33" t="s">
        <v>336</v>
      </c>
      <c r="E249" s="25">
        <v>73280.759999999995</v>
      </c>
      <c r="F249" s="25">
        <v>79890.33</v>
      </c>
      <c r="G249" s="28">
        <v>79890.33</v>
      </c>
      <c r="H249" s="28">
        <v>170640.23</v>
      </c>
      <c r="I249" s="28">
        <v>75106.880000000005</v>
      </c>
      <c r="J249" s="7">
        <f>$B249*'Distributor Payments'!H$21</f>
        <v>170640.23153911639</v>
      </c>
      <c r="K249" s="7">
        <f>$B249*'Distributor Payments'!I$21</f>
        <v>170640.23153747973</v>
      </c>
      <c r="L249" s="7">
        <f>$B249*'Distributor Payments'!J$21</f>
        <v>65013.928212577455</v>
      </c>
      <c r="M249" s="7">
        <f>$B249*'Distributor Payments'!K$21</f>
        <v>200693.47138127594</v>
      </c>
      <c r="N249" s="7">
        <f>$B249*'Distributor Payments'!L$21</f>
        <v>200693.47138127594</v>
      </c>
      <c r="O249" s="7">
        <f>$B249*'Distributor Payments'!M$21</f>
        <v>200693.47138127594</v>
      </c>
      <c r="P249" s="7">
        <f>$B249*'Distributor Payments'!N$21</f>
        <v>168703.11696054117</v>
      </c>
      <c r="Q249" s="7">
        <f>$B249*'Distributor Payments'!O$21</f>
        <v>168703.11696054117</v>
      </c>
      <c r="R249" s="7">
        <f>$B249*'Distributor Payments'!P$21</f>
        <v>168703.11696054117</v>
      </c>
      <c r="S249" s="7">
        <f>$B249*'Distributor Payments'!Q$21</f>
        <v>168703.11696054117</v>
      </c>
      <c r="T249" s="7">
        <f>$B249*'Distributor Payments'!R$21</f>
        <v>168703.11696054117</v>
      </c>
      <c r="U249" s="7">
        <f>$B249*'Distributor Payments'!S$21</f>
        <v>168703.11696054117</v>
      </c>
      <c r="V249" s="7">
        <f>$B249*'Distributor Payments'!T$21</f>
        <v>168703.11696054117</v>
      </c>
      <c r="W249" s="7">
        <f>$B249*'Distributor Payments'!U$21</f>
        <v>168703.11696054117</v>
      </c>
      <c r="X249" s="7">
        <f>B249*'Distributor Payments'!$V$21</f>
        <v>41294.315420952444</v>
      </c>
      <c r="Y249" s="7">
        <v>0</v>
      </c>
      <c r="Z249" s="7">
        <f t="shared" si="3"/>
        <v>2878102.5865382841</v>
      </c>
    </row>
    <row r="250" spans="1:26" customFormat="1" x14ac:dyDescent="0.35">
      <c r="A250" s="3" t="s">
        <v>268</v>
      </c>
      <c r="B250" s="6">
        <v>3.3566938342642616E-4</v>
      </c>
      <c r="C250" s="8" t="s">
        <v>272</v>
      </c>
      <c r="D250" s="33" t="s">
        <v>336</v>
      </c>
      <c r="E250" s="25">
        <v>2495.5</v>
      </c>
      <c r="F250" s="25">
        <v>2720.59</v>
      </c>
      <c r="G250" s="28">
        <v>2720.59</v>
      </c>
      <c r="H250" s="28">
        <v>5637.58</v>
      </c>
      <c r="I250" s="28">
        <v>2481.37</v>
      </c>
      <c r="J250" s="7">
        <f>$B250*'Distributor Payments'!H$21</f>
        <v>5637.5799763784689</v>
      </c>
      <c r="K250" s="7">
        <f>$B250*'Distributor Payments'!I$21</f>
        <v>5637.5799763243976</v>
      </c>
      <c r="L250" s="7">
        <f>$B250*'Distributor Payments'!J$21</f>
        <v>2147.9179708737975</v>
      </c>
      <c r="M250" s="7">
        <f>$B250*'Distributor Payments'!K$21</f>
        <v>6630.473279624016</v>
      </c>
      <c r="N250" s="7">
        <f>$B250*'Distributor Payments'!L$21</f>
        <v>6630.473279624016</v>
      </c>
      <c r="O250" s="7">
        <f>$B250*'Distributor Payments'!M$21</f>
        <v>6630.473279624016</v>
      </c>
      <c r="P250" s="7">
        <f>$B250*'Distributor Payments'!N$21</f>
        <v>5573.5819481196813</v>
      </c>
      <c r="Q250" s="7">
        <f>$B250*'Distributor Payments'!O$21</f>
        <v>5573.5819481196813</v>
      </c>
      <c r="R250" s="7">
        <f>$B250*'Distributor Payments'!P$21</f>
        <v>5573.5819481196813</v>
      </c>
      <c r="S250" s="7">
        <f>$B250*'Distributor Payments'!Q$21</f>
        <v>5573.5819481196813</v>
      </c>
      <c r="T250" s="7">
        <f>$B250*'Distributor Payments'!R$21</f>
        <v>5573.5819481196813</v>
      </c>
      <c r="U250" s="7">
        <f>$B250*'Distributor Payments'!S$21</f>
        <v>5573.5819481196813</v>
      </c>
      <c r="V250" s="7">
        <f>$B250*'Distributor Payments'!T$21</f>
        <v>5573.5819481196813</v>
      </c>
      <c r="W250" s="7">
        <f>$B250*'Distributor Payments'!U$21</f>
        <v>5573.5819481196813</v>
      </c>
      <c r="X250" s="7">
        <f>B250*'Distributor Payments'!$V$21</f>
        <v>1364.2738506367571</v>
      </c>
      <c r="Y250" s="7">
        <v>0</v>
      </c>
      <c r="Z250" s="7">
        <f t="shared" si="3"/>
        <v>95323.057198042923</v>
      </c>
    </row>
    <row r="251" spans="1:26" customFormat="1" x14ac:dyDescent="0.35">
      <c r="A251" s="3" t="s">
        <v>55</v>
      </c>
      <c r="B251" s="6">
        <v>8.2457609616566252E-5</v>
      </c>
      <c r="C251" s="8" t="s">
        <v>273</v>
      </c>
      <c r="D251" s="33" t="s">
        <v>336</v>
      </c>
      <c r="E251" s="25">
        <v>613.02</v>
      </c>
      <c r="F251" s="25">
        <v>668.32</v>
      </c>
      <c r="G251" s="28">
        <v>668.32</v>
      </c>
      <c r="H251" s="28">
        <v>1384.88</v>
      </c>
      <c r="I251" s="28">
        <v>609.54999999999995</v>
      </c>
      <c r="J251" s="7">
        <f>$B251*'Distributor Payments'!H$21</f>
        <v>1384.8786687936865</v>
      </c>
      <c r="K251" s="7">
        <f>$B251*'Distributor Payments'!I$21</f>
        <v>1384.8786687804038</v>
      </c>
      <c r="L251" s="7">
        <f>$B251*'Distributor Payments'!J$21</f>
        <v>527.63877277934444</v>
      </c>
      <c r="M251" s="7">
        <f>$B251*'Distributor Payments'!K$21</f>
        <v>1628.784167574064</v>
      </c>
      <c r="N251" s="7">
        <f>$B251*'Distributor Payments'!L$21</f>
        <v>1628.784167574064</v>
      </c>
      <c r="O251" s="7">
        <f>$B251*'Distributor Payments'!M$21</f>
        <v>1628.784167574064</v>
      </c>
      <c r="P251" s="7">
        <f>$B251*'Distributor Payments'!N$21</f>
        <v>1369.1574720121225</v>
      </c>
      <c r="Q251" s="7">
        <f>$B251*'Distributor Payments'!O$21</f>
        <v>1369.1574720121225</v>
      </c>
      <c r="R251" s="7">
        <f>$B251*'Distributor Payments'!P$21</f>
        <v>1369.1574720121225</v>
      </c>
      <c r="S251" s="7">
        <f>$B251*'Distributor Payments'!Q$21</f>
        <v>1369.1574720121225</v>
      </c>
      <c r="T251" s="7">
        <f>$B251*'Distributor Payments'!R$21</f>
        <v>1369.1574720121225</v>
      </c>
      <c r="U251" s="7">
        <f>$B251*'Distributor Payments'!S$21</f>
        <v>1369.1574720121225</v>
      </c>
      <c r="V251" s="7">
        <f>$B251*'Distributor Payments'!T$21</f>
        <v>1369.1574720121225</v>
      </c>
      <c r="W251" s="7">
        <f>$B251*'Distributor Payments'!U$21</f>
        <v>1369.1574720121225</v>
      </c>
      <c r="X251" s="7">
        <f>B251*'Distributor Payments'!$V$21</f>
        <v>335.13560110123223</v>
      </c>
      <c r="Y251" s="7">
        <v>0</v>
      </c>
      <c r="Z251" s="7">
        <f t="shared" si="3"/>
        <v>23416.233990273831</v>
      </c>
    </row>
    <row r="252" spans="1:26" customFormat="1" x14ac:dyDescent="0.35">
      <c r="A252" s="3" t="s">
        <v>28</v>
      </c>
      <c r="B252" s="6">
        <v>6.7902872464836354E-5</v>
      </c>
      <c r="C252" s="8" t="s">
        <v>274</v>
      </c>
      <c r="D252" s="33" t="s">
        <v>336</v>
      </c>
      <c r="E252" s="25">
        <v>504.82</v>
      </c>
      <c r="F252" s="29">
        <v>550.35</v>
      </c>
      <c r="G252" s="28">
        <v>550.35</v>
      </c>
      <c r="H252" s="28">
        <v>1140.43</v>
      </c>
      <c r="I252" s="28">
        <v>501.96</v>
      </c>
      <c r="J252" s="7">
        <f>$B252*'Distributor Payments'!H$21</f>
        <v>1140.4313084462415</v>
      </c>
      <c r="K252" s="7">
        <f>$B252*'Distributor Payments'!I$21</f>
        <v>1140.4313084353034</v>
      </c>
      <c r="L252" s="7">
        <f>$B252*'Distributor Payments'!J$21</f>
        <v>434.50432849244862</v>
      </c>
      <c r="M252" s="7">
        <f>$B252*'Distributor Payments'!K$21</f>
        <v>1341.2846202772564</v>
      </c>
      <c r="N252" s="7">
        <f>$B252*'Distributor Payments'!L$21</f>
        <v>1341.2846202772564</v>
      </c>
      <c r="O252" s="7">
        <f>$B252*'Distributor Payments'!M$21</f>
        <v>1341.2846202772564</v>
      </c>
      <c r="P252" s="7">
        <f>$B252*'Distributor Payments'!N$21</f>
        <v>1127.4850876545263</v>
      </c>
      <c r="Q252" s="7">
        <f>$B252*'Distributor Payments'!O$21</f>
        <v>1127.4850876545263</v>
      </c>
      <c r="R252" s="7">
        <f>$B252*'Distributor Payments'!P$21</f>
        <v>1127.4850876545263</v>
      </c>
      <c r="S252" s="7">
        <f>$B252*'Distributor Payments'!Q$21</f>
        <v>1127.4850876545263</v>
      </c>
      <c r="T252" s="7">
        <f>$B252*'Distributor Payments'!R$21</f>
        <v>1127.4850876545263</v>
      </c>
      <c r="U252" s="7">
        <f>$B252*'Distributor Payments'!S$21</f>
        <v>1127.4850876545263</v>
      </c>
      <c r="V252" s="7">
        <f>$B252*'Distributor Payments'!T$21</f>
        <v>1127.4850876545263</v>
      </c>
      <c r="W252" s="7">
        <f>$B252*'Distributor Payments'!U$21</f>
        <v>1127.4850876545263</v>
      </c>
      <c r="X252" s="7">
        <f>B252*'Distributor Payments'!$V$21</f>
        <v>275.98022894216041</v>
      </c>
      <c r="Y252" s="7">
        <v>0</v>
      </c>
      <c r="Z252" s="7">
        <f t="shared" si="3"/>
        <v>19282.991736384134</v>
      </c>
    </row>
    <row r="253" spans="1:26" customFormat="1" x14ac:dyDescent="0.35">
      <c r="A253" s="3" t="s">
        <v>22</v>
      </c>
      <c r="B253" s="6">
        <v>2.1085950371517305E-3</v>
      </c>
      <c r="C253" s="8" t="s">
        <v>275</v>
      </c>
      <c r="D253" s="33" t="s">
        <v>336</v>
      </c>
      <c r="E253" s="25">
        <v>15676.15</v>
      </c>
      <c r="F253" s="25">
        <v>17090.07</v>
      </c>
      <c r="G253" s="28">
        <v>17090.07</v>
      </c>
      <c r="H253" s="28">
        <v>35413.93</v>
      </c>
      <c r="I253" s="28">
        <v>15587.36</v>
      </c>
      <c r="J253" s="7">
        <f>$B253*'Distributor Payments'!H$21</f>
        <v>35413.933312577938</v>
      </c>
      <c r="K253" s="7">
        <f>$B253*'Distributor Payments'!I$21</f>
        <v>35413.933312238274</v>
      </c>
      <c r="L253" s="7">
        <f>$B253*'Distributor Payments'!J$21</f>
        <v>13492.708591298186</v>
      </c>
      <c r="M253" s="7">
        <f>$B253*'Distributor Payments'!K$21</f>
        <v>41651.052320197043</v>
      </c>
      <c r="N253" s="7">
        <f>$B253*'Distributor Payments'!L$21</f>
        <v>41651.052320197043</v>
      </c>
      <c r="O253" s="7">
        <f>$B253*'Distributor Payments'!M$21</f>
        <v>41651.052320197043</v>
      </c>
      <c r="P253" s="7">
        <f>$B253*'Distributor Payments'!N$21</f>
        <v>35011.912957320979</v>
      </c>
      <c r="Q253" s="7">
        <f>$B253*'Distributor Payments'!O$21</f>
        <v>35011.912957320979</v>
      </c>
      <c r="R253" s="7">
        <f>$B253*'Distributor Payments'!P$21</f>
        <v>35011.912957320979</v>
      </c>
      <c r="S253" s="7">
        <f>$B253*'Distributor Payments'!Q$21</f>
        <v>35011.912957320979</v>
      </c>
      <c r="T253" s="7">
        <f>$B253*'Distributor Payments'!R$21</f>
        <v>35011.912957320979</v>
      </c>
      <c r="U253" s="7">
        <f>$B253*'Distributor Payments'!S$21</f>
        <v>35011.912957320979</v>
      </c>
      <c r="V253" s="7">
        <f>$B253*'Distributor Payments'!T$21</f>
        <v>35011.912957320979</v>
      </c>
      <c r="W253" s="7">
        <f>$B253*'Distributor Payments'!U$21</f>
        <v>35011.912957320979</v>
      </c>
      <c r="X253" s="7">
        <f>B253*'Distributor Payments'!$V$21</f>
        <v>8570.0430626228917</v>
      </c>
      <c r="Y253" s="7">
        <v>0</v>
      </c>
      <c r="Z253" s="7">
        <f t="shared" si="3"/>
        <v>598796.6588978963</v>
      </c>
    </row>
    <row r="254" spans="1:26" customFormat="1" x14ac:dyDescent="0.35">
      <c r="A254" s="3" t="s">
        <v>83</v>
      </c>
      <c r="B254" s="6">
        <v>2.9159787275190172E-5</v>
      </c>
      <c r="C254" s="8" t="s">
        <v>276</v>
      </c>
      <c r="D254" s="33" t="s">
        <v>336</v>
      </c>
      <c r="E254" s="25">
        <v>216.79</v>
      </c>
      <c r="F254" s="29">
        <v>236.34</v>
      </c>
      <c r="G254" s="28">
        <v>236.34</v>
      </c>
      <c r="H254" s="28">
        <v>489.74</v>
      </c>
      <c r="I254" s="28">
        <v>215.56</v>
      </c>
      <c r="J254" s="7">
        <f>$B254*'Distributor Payments'!H$21</f>
        <v>489.73972895594699</v>
      </c>
      <c r="K254" s="7">
        <f>$B254*'Distributor Payments'!I$21</f>
        <v>489.73972895124979</v>
      </c>
      <c r="L254" s="7">
        <f>$B254*'Distributor Payments'!J$21</f>
        <v>186.59083672123543</v>
      </c>
      <c r="M254" s="7">
        <f>$B254*'Distributor Payments'!K$21</f>
        <v>575.9929261169774</v>
      </c>
      <c r="N254" s="7">
        <f>$B254*'Distributor Payments'!L$21</f>
        <v>575.9929261169774</v>
      </c>
      <c r="O254" s="7">
        <f>$B254*'Distributor Payments'!M$21</f>
        <v>575.9929261169774</v>
      </c>
      <c r="P254" s="7">
        <f>$B254*'Distributor Payments'!N$21</f>
        <v>484.18018440943973</v>
      </c>
      <c r="Q254" s="7">
        <f>$B254*'Distributor Payments'!O$21</f>
        <v>484.18018440943973</v>
      </c>
      <c r="R254" s="7">
        <f>$B254*'Distributor Payments'!P$21</f>
        <v>484.18018440943973</v>
      </c>
      <c r="S254" s="7">
        <f>$B254*'Distributor Payments'!Q$21</f>
        <v>484.18018440943973</v>
      </c>
      <c r="T254" s="7">
        <f>$B254*'Distributor Payments'!R$21</f>
        <v>484.18018440943973</v>
      </c>
      <c r="U254" s="7">
        <f>$B254*'Distributor Payments'!S$21</f>
        <v>484.18018440943973</v>
      </c>
      <c r="V254" s="7">
        <f>$B254*'Distributor Payments'!T$21</f>
        <v>484.18018440943973</v>
      </c>
      <c r="W254" s="7">
        <f>$B254*'Distributor Payments'!U$21</f>
        <v>484.18018440943973</v>
      </c>
      <c r="X254" s="7">
        <f>B254*'Distributor Payments'!$V$21</f>
        <v>118.51523324405912</v>
      </c>
      <c r="Y254" s="7">
        <v>0</v>
      </c>
      <c r="Z254" s="7">
        <f t="shared" si="3"/>
        <v>8280.7757814989418</v>
      </c>
    </row>
    <row r="255" spans="1:26" customFormat="1" x14ac:dyDescent="0.35">
      <c r="A255" s="3" t="s">
        <v>254</v>
      </c>
      <c r="B255" s="6">
        <v>7.119460414312982E-5</v>
      </c>
      <c r="C255" s="8" t="s">
        <v>277</v>
      </c>
      <c r="D255" s="33" t="s">
        <v>336</v>
      </c>
      <c r="E255" s="25">
        <v>529.29</v>
      </c>
      <c r="F255" s="25">
        <v>577.03</v>
      </c>
      <c r="G255" s="28">
        <v>577.03</v>
      </c>
      <c r="H255" s="28">
        <v>1195.72</v>
      </c>
      <c r="I255" s="28">
        <v>526.29</v>
      </c>
      <c r="J255" s="7">
        <f>$B255*'Distributor Payments'!H$21</f>
        <v>1195.7160663461989</v>
      </c>
      <c r="K255" s="7">
        <f>$B255*'Distributor Payments'!I$21</f>
        <v>1195.7160663347306</v>
      </c>
      <c r="L255" s="7">
        <f>$B255*'Distributor Payments'!J$21</f>
        <v>455.56782125109288</v>
      </c>
      <c r="M255" s="7">
        <f>$B255*'Distributor Payments'!K$21</f>
        <v>1406.3061563906347</v>
      </c>
      <c r="N255" s="7">
        <f>$B255*'Distributor Payments'!L$21</f>
        <v>1406.3061563906347</v>
      </c>
      <c r="O255" s="7">
        <f>$B255*'Distributor Payments'!M$21</f>
        <v>1406.3061563906347</v>
      </c>
      <c r="P255" s="7">
        <f>$B255*'Distributor Payments'!N$21</f>
        <v>1182.1422508217815</v>
      </c>
      <c r="Q255" s="7">
        <f>$B255*'Distributor Payments'!O$21</f>
        <v>1182.1422508217815</v>
      </c>
      <c r="R255" s="7">
        <f>$B255*'Distributor Payments'!P$21</f>
        <v>1182.1422508217815</v>
      </c>
      <c r="S255" s="7">
        <f>$B255*'Distributor Payments'!Q$21</f>
        <v>1182.1422508217815</v>
      </c>
      <c r="T255" s="7">
        <f>$B255*'Distributor Payments'!R$21</f>
        <v>1182.1422508217815</v>
      </c>
      <c r="U255" s="7">
        <f>$B255*'Distributor Payments'!S$21</f>
        <v>1182.1422508217815</v>
      </c>
      <c r="V255" s="7">
        <f>$B255*'Distributor Payments'!T$21</f>
        <v>1182.1422508217815</v>
      </c>
      <c r="W255" s="7">
        <f>$B255*'Distributor Payments'!U$21</f>
        <v>1182.1422508217815</v>
      </c>
      <c r="X255" s="7">
        <f>B255*'Distributor Payments'!$V$21</f>
        <v>289.35893928555623</v>
      </c>
      <c r="Y255" s="7">
        <v>0</v>
      </c>
      <c r="Z255" s="7">
        <f t="shared" si="3"/>
        <v>20217.775368963736</v>
      </c>
    </row>
    <row r="256" spans="1:26" customFormat="1" x14ac:dyDescent="0.35">
      <c r="A256" s="3" t="s">
        <v>278</v>
      </c>
      <c r="B256" s="6">
        <v>6.9474875120000001E-4</v>
      </c>
      <c r="C256" s="8" t="s">
        <v>279</v>
      </c>
      <c r="D256" s="33" t="s">
        <v>336</v>
      </c>
      <c r="E256" s="25">
        <v>5010.92</v>
      </c>
      <c r="F256" s="25">
        <v>5462.88</v>
      </c>
      <c r="G256" s="28">
        <v>5462.88</v>
      </c>
      <c r="H256" s="28">
        <v>11668.33</v>
      </c>
      <c r="I256" s="28">
        <v>5135.79</v>
      </c>
      <c r="J256" s="7">
        <f>$B256*'Distributor Payments'!H$21</f>
        <v>11668.331524306419</v>
      </c>
      <c r="K256" s="7">
        <f>$B256*'Distributor Payments'!I$21</f>
        <v>11668.331524194506</v>
      </c>
      <c r="L256" s="7">
        <f>$B256*'Distributor Payments'!J$21</f>
        <v>4445.634310499132</v>
      </c>
      <c r="M256" s="7">
        <f>$B256*'Distributor Payments'!K$21</f>
        <v>13723.363697521834</v>
      </c>
      <c r="N256" s="7">
        <f>$B256*'Distributor Payments'!L$21</f>
        <v>13723.363697521834</v>
      </c>
      <c r="O256" s="7">
        <f>$B256*'Distributor Payments'!M$21</f>
        <v>13723.363697521834</v>
      </c>
      <c r="P256" s="7">
        <f>$B256*'Distributor Payments'!N$21</f>
        <v>11535.872168739961</v>
      </c>
      <c r="Q256" s="7">
        <f>$B256*'Distributor Payments'!O$21</f>
        <v>11535.872168739961</v>
      </c>
      <c r="R256" s="7">
        <f>$B256*'Distributor Payments'!P$21</f>
        <v>11535.872168739961</v>
      </c>
      <c r="S256" s="7">
        <f>$B256*'Distributor Payments'!Q$21</f>
        <v>11535.872168739961</v>
      </c>
      <c r="T256" s="7">
        <f>$B256*'Distributor Payments'!R$21</f>
        <v>11535.872168739961</v>
      </c>
      <c r="U256" s="7">
        <f>$B256*'Distributor Payments'!S$21</f>
        <v>11535.872168739961</v>
      </c>
      <c r="V256" s="7">
        <f>$B256*'Distributor Payments'!T$21</f>
        <v>11535.872168739961</v>
      </c>
      <c r="W256" s="7">
        <f>$B256*'Distributor Payments'!U$21</f>
        <v>11535.872168739961</v>
      </c>
      <c r="X256" s="7">
        <f>B256*'Distributor Payments'!$V$21</f>
        <v>2823.6937916396309</v>
      </c>
      <c r="Y256" s="7">
        <v>0</v>
      </c>
      <c r="Z256" s="7">
        <f t="shared" si="3"/>
        <v>196803.85959312494</v>
      </c>
    </row>
    <row r="257" spans="1:26" customFormat="1" x14ac:dyDescent="0.35">
      <c r="A257" s="3" t="s">
        <v>22</v>
      </c>
      <c r="B257" s="6">
        <v>2.6987488049182509E-4</v>
      </c>
      <c r="C257" s="8" t="s">
        <v>280</v>
      </c>
      <c r="D257" s="33" t="s">
        <v>336</v>
      </c>
      <c r="E257" s="25">
        <v>2006.36</v>
      </c>
      <c r="F257" s="25">
        <v>2187.3200000000002</v>
      </c>
      <c r="G257" s="28">
        <v>2187.3200000000002</v>
      </c>
      <c r="H257" s="28">
        <v>4532.5600000000004</v>
      </c>
      <c r="I257" s="28">
        <v>1994.99</v>
      </c>
      <c r="J257" s="7">
        <f>$B257*'Distributor Payments'!H$21</f>
        <v>4532.5588138476242</v>
      </c>
      <c r="K257" s="7">
        <f>$B257*'Distributor Payments'!I$21</f>
        <v>4532.5588138041512</v>
      </c>
      <c r="L257" s="7">
        <f>$B257*'Distributor Payments'!J$21</f>
        <v>1726.9049079743211</v>
      </c>
      <c r="M257" s="7">
        <f>$B257*'Distributor Payments'!K$21</f>
        <v>5330.835257231558</v>
      </c>
      <c r="N257" s="7">
        <f>$B257*'Distributor Payments'!L$21</f>
        <v>5330.835257231558</v>
      </c>
      <c r="O257" s="7">
        <f>$B257*'Distributor Payments'!M$21</f>
        <v>5330.835257231558</v>
      </c>
      <c r="P257" s="7">
        <f>$B257*'Distributor Payments'!N$21</f>
        <v>4481.1050290199755</v>
      </c>
      <c r="Q257" s="7">
        <f>$B257*'Distributor Payments'!O$21</f>
        <v>4481.1050290199755</v>
      </c>
      <c r="R257" s="7">
        <f>$B257*'Distributor Payments'!P$21</f>
        <v>4481.1050290199755</v>
      </c>
      <c r="S257" s="7">
        <f>$B257*'Distributor Payments'!Q$21</f>
        <v>4481.1050290199755</v>
      </c>
      <c r="T257" s="7">
        <f>$B257*'Distributor Payments'!R$21</f>
        <v>4481.1050290199755</v>
      </c>
      <c r="U257" s="7">
        <f>$B257*'Distributor Payments'!S$21</f>
        <v>4481.1050290199755</v>
      </c>
      <c r="V257" s="7">
        <f>$B257*'Distributor Payments'!T$21</f>
        <v>4481.1050290199755</v>
      </c>
      <c r="W257" s="7">
        <f>$B257*'Distributor Payments'!U$21</f>
        <v>4481.1050290199755</v>
      </c>
      <c r="X257" s="7">
        <f>B257*'Distributor Payments'!$V$21</f>
        <v>1096.8627482208763</v>
      </c>
      <c r="Y257" s="7">
        <v>0</v>
      </c>
      <c r="Z257" s="7">
        <f t="shared" si="3"/>
        <v>76638.781287701466</v>
      </c>
    </row>
    <row r="258" spans="1:26" customFormat="1" x14ac:dyDescent="0.35">
      <c r="A258" s="3" t="s">
        <v>34</v>
      </c>
      <c r="B258" s="6">
        <v>1.3219118091483929E-3</v>
      </c>
      <c r="C258" s="8" t="s">
        <v>281</v>
      </c>
      <c r="D258" s="33" t="s">
        <v>336</v>
      </c>
      <c r="E258" s="25">
        <v>9827.6299999999992</v>
      </c>
      <c r="F258" s="25">
        <v>10714.04</v>
      </c>
      <c r="G258" s="28">
        <v>10714.04</v>
      </c>
      <c r="H258" s="28">
        <v>22201.56</v>
      </c>
      <c r="I258" s="28">
        <v>9771.9599999999991</v>
      </c>
      <c r="J258" s="7">
        <f>$B258*'Distributor Payments'!H$21</f>
        <v>22201.558777035945</v>
      </c>
      <c r="K258" s="7">
        <f>$B258*'Distributor Payments'!I$21</f>
        <v>22201.558776823007</v>
      </c>
      <c r="L258" s="7">
        <f>$B258*'Distributor Payments'!J$21</f>
        <v>8458.7938935529182</v>
      </c>
      <c r="M258" s="7">
        <f>$B258*'Distributor Payments'!K$21</f>
        <v>26111.708011937288</v>
      </c>
      <c r="N258" s="7">
        <f>$B258*'Distributor Payments'!L$21</f>
        <v>26111.708011937288</v>
      </c>
      <c r="O258" s="7">
        <f>$B258*'Distributor Payments'!M$21</f>
        <v>26111.708011937288</v>
      </c>
      <c r="P258" s="7">
        <f>$B258*'Distributor Payments'!N$21</f>
        <v>21949.525813963974</v>
      </c>
      <c r="Q258" s="7">
        <f>$B258*'Distributor Payments'!O$21</f>
        <v>21949.525813963974</v>
      </c>
      <c r="R258" s="7">
        <f>$B258*'Distributor Payments'!P$21</f>
        <v>21949.525813963974</v>
      </c>
      <c r="S258" s="7">
        <f>$B258*'Distributor Payments'!Q$21</f>
        <v>21949.525813963974</v>
      </c>
      <c r="T258" s="7">
        <f>$B258*'Distributor Payments'!R$21</f>
        <v>21949.525813963974</v>
      </c>
      <c r="U258" s="7">
        <f>$B258*'Distributor Payments'!S$21</f>
        <v>21949.525813963974</v>
      </c>
      <c r="V258" s="7">
        <f>$B258*'Distributor Payments'!T$21</f>
        <v>21949.525813963974</v>
      </c>
      <c r="W258" s="7">
        <f>$B258*'Distributor Payments'!U$21</f>
        <v>21949.525813963974</v>
      </c>
      <c r="X258" s="7">
        <f>B258*'Distributor Payments'!$V$21</f>
        <v>5372.6964778852698</v>
      </c>
      <c r="Y258" s="7">
        <v>0</v>
      </c>
      <c r="Z258" s="7">
        <f t="shared" si="3"/>
        <v>375395.16847282072</v>
      </c>
    </row>
    <row r="259" spans="1:26" customFormat="1" x14ac:dyDescent="0.35">
      <c r="A259" s="3" t="s">
        <v>282</v>
      </c>
      <c r="B259" s="6">
        <v>4.9641098763200005E-3</v>
      </c>
      <c r="C259" s="8" t="s">
        <v>282</v>
      </c>
      <c r="D259" s="33" t="s">
        <v>336</v>
      </c>
      <c r="E259" s="25">
        <v>35803.949999999997</v>
      </c>
      <c r="F259" s="25">
        <v>39033.29</v>
      </c>
      <c r="G259" s="28">
        <v>39033.29</v>
      </c>
      <c r="H259" s="28">
        <v>83372.41</v>
      </c>
      <c r="I259" s="28">
        <v>36696.17</v>
      </c>
      <c r="J259" s="7">
        <f>$B259*'Distributor Payments'!H$21</f>
        <v>83372.412918970498</v>
      </c>
      <c r="K259" s="7">
        <f>$B259*'Distributor Payments'!I$21</f>
        <v>83372.412918170856</v>
      </c>
      <c r="L259" s="7">
        <f>$B259*'Distributor Payments'!J$21</f>
        <v>31764.88932025848</v>
      </c>
      <c r="M259" s="7">
        <f>$B259*'Distributor Payments'!K$21</f>
        <v>98056.00247504194</v>
      </c>
      <c r="N259" s="7">
        <f>$B259*'Distributor Payments'!L$21</f>
        <v>98056.00247504194</v>
      </c>
      <c r="O259" s="7">
        <f>$B259*'Distributor Payments'!M$21</f>
        <v>98056.00247504194</v>
      </c>
      <c r="P259" s="7">
        <f>$B259*'Distributor Payments'!N$21</f>
        <v>82425.966028576368</v>
      </c>
      <c r="Q259" s="7">
        <f>$B259*'Distributor Payments'!O$21</f>
        <v>82425.966028576368</v>
      </c>
      <c r="R259" s="7">
        <f>$B259*'Distributor Payments'!P$21</f>
        <v>82425.966028576368</v>
      </c>
      <c r="S259" s="7">
        <f>$B259*'Distributor Payments'!Q$21</f>
        <v>82425.966028576368</v>
      </c>
      <c r="T259" s="7">
        <f>$B259*'Distributor Payments'!R$21</f>
        <v>82425.966028576368</v>
      </c>
      <c r="U259" s="7">
        <f>$B259*'Distributor Payments'!S$21</f>
        <v>82425.966028576368</v>
      </c>
      <c r="V259" s="7">
        <f>$B259*'Distributor Payments'!T$21</f>
        <v>82425.966028576368</v>
      </c>
      <c r="W259" s="7">
        <f>$B259*'Distributor Payments'!U$21</f>
        <v>82425.966028576368</v>
      </c>
      <c r="X259" s="7">
        <f>B259*'Distributor Payments'!$V$21</f>
        <v>20175.820704349269</v>
      </c>
      <c r="Y259" s="7">
        <v>0</v>
      </c>
      <c r="Z259" s="7">
        <f t="shared" si="3"/>
        <v>1406200.3815154852</v>
      </c>
    </row>
    <row r="260" spans="1:26" customFormat="1" x14ac:dyDescent="0.35">
      <c r="A260" s="3" t="s">
        <v>60</v>
      </c>
      <c r="B260" s="6">
        <v>5.3967269220409699E-5</v>
      </c>
      <c r="C260" s="8" t="s">
        <v>283</v>
      </c>
      <c r="D260" s="33" t="s">
        <v>336</v>
      </c>
      <c r="E260" s="25">
        <v>401.21</v>
      </c>
      <c r="F260" s="25">
        <v>437.4</v>
      </c>
      <c r="G260" s="28">
        <v>437.4</v>
      </c>
      <c r="H260" s="28">
        <v>906.38</v>
      </c>
      <c r="I260" s="28">
        <v>398.94</v>
      </c>
      <c r="J260" s="7">
        <f>$B260*'Distributor Payments'!H$21</f>
        <v>906.38232546309609</v>
      </c>
      <c r="K260" s="7">
        <f>$B260*'Distributor Payments'!I$21</f>
        <v>906.3823254544028</v>
      </c>
      <c r="L260" s="7">
        <f>$B260*'Distributor Payments'!J$21</f>
        <v>345.33166598111779</v>
      </c>
      <c r="M260" s="7">
        <f>$B260*'Distributor Payments'!K$21</f>
        <v>1066.0148175790746</v>
      </c>
      <c r="N260" s="7">
        <f>$B260*'Distributor Payments'!L$21</f>
        <v>1066.0148175790746</v>
      </c>
      <c r="O260" s="7">
        <f>$B260*'Distributor Payments'!M$21</f>
        <v>1066.0148175790746</v>
      </c>
      <c r="P260" s="7">
        <f>$B260*'Distributor Payments'!N$21</f>
        <v>896.09303787492854</v>
      </c>
      <c r="Q260" s="7">
        <f>$B260*'Distributor Payments'!O$21</f>
        <v>896.09303787492854</v>
      </c>
      <c r="R260" s="7">
        <f>$B260*'Distributor Payments'!P$21</f>
        <v>896.09303787492854</v>
      </c>
      <c r="S260" s="7">
        <f>$B260*'Distributor Payments'!Q$21</f>
        <v>896.09303787492854</v>
      </c>
      <c r="T260" s="7">
        <f>$B260*'Distributor Payments'!R$21</f>
        <v>896.09303787492854</v>
      </c>
      <c r="U260" s="7">
        <f>$B260*'Distributor Payments'!S$21</f>
        <v>896.09303787492854</v>
      </c>
      <c r="V260" s="7">
        <f>$B260*'Distributor Payments'!T$21</f>
        <v>896.09303787492854</v>
      </c>
      <c r="W260" s="7">
        <f>$B260*'Distributor Payments'!U$21</f>
        <v>896.09303787492854</v>
      </c>
      <c r="X260" s="7">
        <f>B260*'Distributor Payments'!$V$21</f>
        <v>219.34122628677767</v>
      </c>
      <c r="Y260" s="7">
        <v>0</v>
      </c>
      <c r="Z260" s="7">
        <f t="shared" ref="Z260:Z279" si="4">SUM(E260:Y260)</f>
        <v>15325.556298922049</v>
      </c>
    </row>
    <row r="261" spans="1:26" customFormat="1" x14ac:dyDescent="0.35">
      <c r="A261" s="3" t="s">
        <v>168</v>
      </c>
      <c r="B261" s="6">
        <v>2.8690620536064817E-7</v>
      </c>
      <c r="C261" s="8" t="s">
        <v>284</v>
      </c>
      <c r="D261" s="33" t="s">
        <v>338</v>
      </c>
      <c r="E261" s="25">
        <v>76.89</v>
      </c>
      <c r="F261" s="47">
        <v>2.33</v>
      </c>
      <c r="G261" s="49">
        <v>2.33</v>
      </c>
      <c r="H261" s="28">
        <v>0</v>
      </c>
      <c r="I261" s="28">
        <v>0</v>
      </c>
      <c r="J261" s="49">
        <f>$B$261*'Distributor Payments'!H$21</f>
        <v>4.818600558470183</v>
      </c>
      <c r="K261" s="49">
        <f>$B$261*'Distributor Payments'!I$21</f>
        <v>4.8186005584239666</v>
      </c>
      <c r="L261" s="49">
        <f>$B$261*'Distributor Payments'!J$21</f>
        <v>1.8358868126691028</v>
      </c>
      <c r="M261" s="49">
        <f>$B$261*'Distributor Payments'!K$21</f>
        <v>5.6672548118141375</v>
      </c>
      <c r="N261" s="49">
        <f>$B$261*'Distributor Payments'!L$21</f>
        <v>5.6672548118141375</v>
      </c>
      <c r="O261" s="49">
        <f>$B$261*'Distributor Payments'!M$21</f>
        <v>5.6672548118141375</v>
      </c>
      <c r="P261" s="49">
        <f>$B$261*'Distributor Payments'!N$21</f>
        <v>4.7638996165765155</v>
      </c>
      <c r="Q261" s="49">
        <f>$B$261*'Distributor Payments'!O$21</f>
        <v>4.7638996165765155</v>
      </c>
      <c r="R261" s="49">
        <f>$B$261*'Distributor Payments'!P$21</f>
        <v>4.7638996165765155</v>
      </c>
      <c r="S261" s="49">
        <f>$B$261*'Distributor Payments'!Q$21</f>
        <v>4.7638996165765155</v>
      </c>
      <c r="T261" s="49">
        <f>$B$261*'Distributor Payments'!R$21</f>
        <v>4.7638996165765155</v>
      </c>
      <c r="U261" s="49">
        <f>$B$261*'Distributor Payments'!S$21</f>
        <v>4.7638996165765155</v>
      </c>
      <c r="V261" s="49">
        <f>$B$261*'Distributor Payments'!T$21</f>
        <v>4.7638996165765155</v>
      </c>
      <c r="W261" s="49">
        <f>$B$261*'Distributor Payments'!U$21</f>
        <v>4.7638996165765155</v>
      </c>
      <c r="X261" s="49">
        <f>$B$261*'Distributor Payments'!V$21</f>
        <v>1.1660838100974584</v>
      </c>
      <c r="Y261" s="7">
        <v>0</v>
      </c>
      <c r="Z261" s="7">
        <f>E261</f>
        <v>76.89</v>
      </c>
    </row>
    <row r="262" spans="1:26" customFormat="1" x14ac:dyDescent="0.35">
      <c r="A262" s="3" t="s">
        <v>22</v>
      </c>
      <c r="B262" s="6">
        <v>7.6929149136000007E-4</v>
      </c>
      <c r="C262" s="8" t="s">
        <v>285</v>
      </c>
      <c r="D262" s="33" t="s">
        <v>336</v>
      </c>
      <c r="E262" s="25">
        <v>5548.56</v>
      </c>
      <c r="F262" s="29">
        <v>6049.02</v>
      </c>
      <c r="G262" s="28">
        <v>6049.02</v>
      </c>
      <c r="H262" s="28">
        <v>12920.28</v>
      </c>
      <c r="I262" s="28">
        <v>5686.83</v>
      </c>
      <c r="J262" s="7">
        <f>$B262*'Distributor Payments'!H$21</f>
        <v>12920.279661549952</v>
      </c>
      <c r="K262" s="7">
        <f>$B262*'Distributor Payments'!I$21</f>
        <v>12920.279661426031</v>
      </c>
      <c r="L262" s="7">
        <f>$B262*'Distributor Payments'!J$21</f>
        <v>4922.6265507608487</v>
      </c>
      <c r="M262" s="7">
        <f>$B262*'Distributor Payments'!K$21</f>
        <v>15195.80554424501</v>
      </c>
      <c r="N262" s="7">
        <f>$B262*'Distributor Payments'!L$21</f>
        <v>15195.80554424501</v>
      </c>
      <c r="O262" s="7">
        <f>$B262*'Distributor Payments'!M$21</f>
        <v>15195.80554424501</v>
      </c>
      <c r="P262" s="7">
        <f>$B262*'Distributor Payments'!N$21</f>
        <v>12773.608141792198</v>
      </c>
      <c r="Q262" s="7">
        <f>$B262*'Distributor Payments'!O$21</f>
        <v>12773.608141792198</v>
      </c>
      <c r="R262" s="7">
        <f>$B262*'Distributor Payments'!P$21</f>
        <v>12773.608141792198</v>
      </c>
      <c r="S262" s="7">
        <f>$B262*'Distributor Payments'!Q$21</f>
        <v>12773.608141792198</v>
      </c>
      <c r="T262" s="7">
        <f>$B262*'Distributor Payments'!R$21</f>
        <v>12773.608141792198</v>
      </c>
      <c r="U262" s="7">
        <f>$B262*'Distributor Payments'!S$21</f>
        <v>12773.608141792198</v>
      </c>
      <c r="V262" s="7">
        <f>$B262*'Distributor Payments'!T$21</f>
        <v>12773.608141792198</v>
      </c>
      <c r="W262" s="7">
        <f>$B262*'Distributor Payments'!U$21</f>
        <v>12773.608141792198</v>
      </c>
      <c r="X262" s="7">
        <f>B262*'Distributor Payments'!$V$21</f>
        <v>3126.6606875686093</v>
      </c>
      <c r="Y262" s="7">
        <v>0</v>
      </c>
      <c r="Z262" s="7">
        <f t="shared" si="4"/>
        <v>217919.83832837813</v>
      </c>
    </row>
    <row r="263" spans="1:26" customFormat="1" x14ac:dyDescent="0.35">
      <c r="A263" s="3" t="s">
        <v>31</v>
      </c>
      <c r="B263" s="6">
        <v>4.2728705934373945E-3</v>
      </c>
      <c r="C263" s="8" t="s">
        <v>31</v>
      </c>
      <c r="D263" s="33" t="s">
        <v>336</v>
      </c>
      <c r="E263" s="25">
        <v>33737.46</v>
      </c>
      <c r="F263" s="25">
        <v>34631.43</v>
      </c>
      <c r="G263" s="28">
        <v>34631.43</v>
      </c>
      <c r="H263" s="28">
        <v>71763.02</v>
      </c>
      <c r="I263" s="28">
        <v>31586.32</v>
      </c>
      <c r="J263" s="7">
        <f>$B263*'Distributor Payments'!H$21</f>
        <v>71763.023047643917</v>
      </c>
      <c r="K263" s="7">
        <f>$B263*'Distributor Payments'!I$21</f>
        <v>71763.023046955612</v>
      </c>
      <c r="L263" s="7">
        <f>$B263*'Distributor Payments'!J$21</f>
        <v>27341.711779543344</v>
      </c>
      <c r="M263" s="7">
        <f>$B263*'Distributor Payments'!K$21</f>
        <v>84401.961262837765</v>
      </c>
      <c r="N263" s="7">
        <f>$B263*'Distributor Payments'!L$21</f>
        <v>84401.961262837765</v>
      </c>
      <c r="O263" s="7">
        <f>$B263*'Distributor Payments'!M$21</f>
        <v>84401.961262837765</v>
      </c>
      <c r="P263" s="7">
        <f>$B263*'Distributor Payments'!N$21</f>
        <v>70948.366404867658</v>
      </c>
      <c r="Q263" s="7">
        <f>$B263*'Distributor Payments'!O$21</f>
        <v>70948.366404867658</v>
      </c>
      <c r="R263" s="7">
        <f>$B263*'Distributor Payments'!P$21</f>
        <v>70948.366404867658</v>
      </c>
      <c r="S263" s="7">
        <f>$B263*'Distributor Payments'!Q$21</f>
        <v>70948.366404867658</v>
      </c>
      <c r="T263" s="7">
        <f>$B263*'Distributor Payments'!R$21</f>
        <v>70948.366404867658</v>
      </c>
      <c r="U263" s="7">
        <f>$B263*'Distributor Payments'!S$21</f>
        <v>70948.366404867658</v>
      </c>
      <c r="V263" s="7">
        <f>$B263*'Distributor Payments'!T$21</f>
        <v>70948.366404867658</v>
      </c>
      <c r="W263" s="7">
        <f>$B263*'Distributor Payments'!U$21</f>
        <v>70948.366404867658</v>
      </c>
      <c r="X263" s="7">
        <f>B263*'Distributor Payments'!$V$21</f>
        <v>17366.390578362389</v>
      </c>
      <c r="Y263" s="7">
        <v>0</v>
      </c>
      <c r="Z263" s="7">
        <f t="shared" si="4"/>
        <v>1215376.6234799598</v>
      </c>
    </row>
    <row r="264" spans="1:26" customFormat="1" x14ac:dyDescent="0.35">
      <c r="A264" s="3" t="s">
        <v>63</v>
      </c>
      <c r="B264" s="6">
        <v>4.8418224678596599E-5</v>
      </c>
      <c r="C264" s="8" t="s">
        <v>286</v>
      </c>
      <c r="D264" s="33" t="s">
        <v>336</v>
      </c>
      <c r="E264" s="25">
        <v>359.96</v>
      </c>
      <c r="F264" s="29">
        <v>392.43</v>
      </c>
      <c r="G264" s="28">
        <v>0</v>
      </c>
      <c r="H264" s="28">
        <v>0</v>
      </c>
      <c r="I264" s="28">
        <v>0</v>
      </c>
      <c r="J264" s="7">
        <f>$B264*'Distributor Payments'!H$21</f>
        <v>813.18591273808931</v>
      </c>
      <c r="K264" s="7">
        <f>$B264*'Distributor Payments'!I$21</f>
        <v>813.18591273028983</v>
      </c>
      <c r="L264" s="7">
        <f>$B264*'Distributor Payments'!J$21</f>
        <v>309.82383273497976</v>
      </c>
      <c r="M264" s="7">
        <f>$B264*'Distributor Payments'!K$21</f>
        <v>956.40460771613164</v>
      </c>
      <c r="N264" s="7">
        <f>$B264*'Distributor Payments'!L$21</f>
        <v>956.40460771613164</v>
      </c>
      <c r="O264" s="7">
        <f>$B264*'Distributor Payments'!M$21</f>
        <v>956.40460771613164</v>
      </c>
      <c r="P264" s="7">
        <f>$B264*'Distributor Payments'!N$21</f>
        <v>803.95459447012365</v>
      </c>
      <c r="Q264" s="7">
        <f>$B264*'Distributor Payments'!O$21</f>
        <v>803.95459447012365</v>
      </c>
      <c r="R264" s="7">
        <f>$B264*'Distributor Payments'!P$21</f>
        <v>803.95459447012365</v>
      </c>
      <c r="S264" s="7">
        <f>$B264*'Distributor Payments'!Q$21</f>
        <v>803.95459447012365</v>
      </c>
      <c r="T264" s="7">
        <f>$B264*'Distributor Payments'!R$21</f>
        <v>803.95459447012365</v>
      </c>
      <c r="U264" s="7">
        <f>$B264*'Distributor Payments'!S$21</f>
        <v>803.95459447012365</v>
      </c>
      <c r="V264" s="7">
        <f>$B264*'Distributor Payments'!T$21</f>
        <v>803.95459447012365</v>
      </c>
      <c r="W264" s="7">
        <f>$B264*'Distributor Payments'!U$21</f>
        <v>803.95459447012365</v>
      </c>
      <c r="X264" s="7">
        <f>B264*'Distributor Payments'!$V$21</f>
        <v>196.78803335885144</v>
      </c>
      <c r="Y264" s="7">
        <v>0</v>
      </c>
      <c r="Z264" s="7">
        <f t="shared" si="4"/>
        <v>12186.224270471597</v>
      </c>
    </row>
    <row r="265" spans="1:26" customFormat="1" x14ac:dyDescent="0.35">
      <c r="A265" s="3" t="s">
        <v>14</v>
      </c>
      <c r="B265" s="6">
        <v>3.2325847532951906E-4</v>
      </c>
      <c r="C265" s="8" t="s">
        <v>287</v>
      </c>
      <c r="D265" s="33" t="s">
        <v>336</v>
      </c>
      <c r="E265" s="25">
        <v>2403.2399999999998</v>
      </c>
      <c r="F265" s="25">
        <v>2620</v>
      </c>
      <c r="G265" s="28">
        <v>2620</v>
      </c>
      <c r="H265" s="28">
        <v>5429.14</v>
      </c>
      <c r="I265" s="28">
        <v>2389.62</v>
      </c>
      <c r="J265" s="7">
        <f>$B265*'Distributor Payments'!H$21</f>
        <v>5429.1383060015442</v>
      </c>
      <c r="K265" s="7">
        <f>$B265*'Distributor Payments'!I$21</f>
        <v>5429.1383059494719</v>
      </c>
      <c r="L265" s="7">
        <f>$B265*'Distributor Payments'!J$21</f>
        <v>2068.5016944648623</v>
      </c>
      <c r="M265" s="7">
        <f>$B265*'Distributor Payments'!K$21</f>
        <v>6385.3207617732223</v>
      </c>
      <c r="N265" s="7">
        <f>$B265*'Distributor Payments'!L$21</f>
        <v>6385.3207617732223</v>
      </c>
      <c r="O265" s="7">
        <f>$B265*'Distributor Payments'!M$21</f>
        <v>6385.3207617732223</v>
      </c>
      <c r="P265" s="7">
        <f>$B265*'Distributor Payments'!N$21</f>
        <v>5367.5065157326362</v>
      </c>
      <c r="Q265" s="7">
        <f>$B265*'Distributor Payments'!O$21</f>
        <v>5367.5065157326362</v>
      </c>
      <c r="R265" s="7">
        <f>$B265*'Distributor Payments'!P$21</f>
        <v>5367.5065157326362</v>
      </c>
      <c r="S265" s="7">
        <f>$B265*'Distributor Payments'!Q$21</f>
        <v>5367.5065157326362</v>
      </c>
      <c r="T265" s="7">
        <f>$B265*'Distributor Payments'!R$21</f>
        <v>5367.5065157326362</v>
      </c>
      <c r="U265" s="7">
        <f>$B265*'Distributor Payments'!S$21</f>
        <v>5367.5065157326362</v>
      </c>
      <c r="V265" s="7">
        <f>$B265*'Distributor Payments'!T$21</f>
        <v>5367.5065157326362</v>
      </c>
      <c r="W265" s="7">
        <f>$B265*'Distributor Payments'!U$21</f>
        <v>5367.5065157326362</v>
      </c>
      <c r="X265" s="7">
        <f>B265*'Distributor Payments'!$V$21</f>
        <v>1313.8317244993355</v>
      </c>
      <c r="Y265" s="7">
        <v>0</v>
      </c>
      <c r="Z265" s="7">
        <f t="shared" si="4"/>
        <v>91798.62444209597</v>
      </c>
    </row>
    <row r="266" spans="1:26" customFormat="1" x14ac:dyDescent="0.35">
      <c r="A266" s="3" t="s">
        <v>75</v>
      </c>
      <c r="B266" s="6">
        <v>1.2684338716680002E-2</v>
      </c>
      <c r="C266" s="8" t="s">
        <v>288</v>
      </c>
      <c r="D266" s="33" t="s">
        <v>336</v>
      </c>
      <c r="E266" s="25">
        <v>91486.57</v>
      </c>
      <c r="F266" s="25">
        <v>99738.22</v>
      </c>
      <c r="G266" s="28">
        <v>99738.22</v>
      </c>
      <c r="H266" s="28">
        <v>213033.95</v>
      </c>
      <c r="I266" s="28">
        <v>93766.37</v>
      </c>
      <c r="J266" s="7">
        <f>$B266*'Distributor Payments'!H$21</f>
        <v>213033.94796633595</v>
      </c>
      <c r="K266" s="7">
        <f>$B266*'Distributor Payments'!I$21</f>
        <v>213033.94796429269</v>
      </c>
      <c r="L266" s="7">
        <f>$B266*'Distributor Payments'!J$21</f>
        <v>81165.93417039761</v>
      </c>
      <c r="M266" s="7">
        <f>$B266*'Distributor Payments'!K$21</f>
        <v>250553.58958313018</v>
      </c>
      <c r="N266" s="7">
        <f>$B266*'Distributor Payments'!L$21</f>
        <v>250553.58958313018</v>
      </c>
      <c r="O266" s="7">
        <f>$B266*'Distributor Payments'!M$21</f>
        <v>250553.58958313018</v>
      </c>
      <c r="P266" s="7">
        <f>$B266*'Distributor Payments'!N$21</f>
        <v>210615.57826175416</v>
      </c>
      <c r="Q266" s="7">
        <f>$B266*'Distributor Payments'!O$21</f>
        <v>210615.57826175416</v>
      </c>
      <c r="R266" s="7">
        <f>$B266*'Distributor Payments'!P$21</f>
        <v>210615.57826175416</v>
      </c>
      <c r="S266" s="7">
        <f>$B266*'Distributor Payments'!Q$21</f>
        <v>210615.57826175416</v>
      </c>
      <c r="T266" s="7">
        <f>$B266*'Distributor Payments'!R$21</f>
        <v>210615.57826175416</v>
      </c>
      <c r="U266" s="7">
        <f>$B266*'Distributor Payments'!S$21</f>
        <v>210615.57826175416</v>
      </c>
      <c r="V266" s="7">
        <f>$B266*'Distributor Payments'!T$21</f>
        <v>210615.57826175416</v>
      </c>
      <c r="W266" s="7">
        <f>$B266*'Distributor Payments'!U$21</f>
        <v>210615.57826175416</v>
      </c>
      <c r="X266" s="7">
        <f>B266*'Distributor Payments'!$V$21</f>
        <v>51553.440612134087</v>
      </c>
      <c r="Y266" s="7">
        <v>0</v>
      </c>
      <c r="Z266" s="7">
        <f t="shared" si="4"/>
        <v>3593135.9955565832</v>
      </c>
    </row>
    <row r="267" spans="1:26" customFormat="1" x14ac:dyDescent="0.35">
      <c r="A267" s="3" t="s">
        <v>75</v>
      </c>
      <c r="B267" s="6">
        <v>4.53026296796044E-4</v>
      </c>
      <c r="C267" s="8" t="s">
        <v>289</v>
      </c>
      <c r="D267" s="33" t="s">
        <v>336</v>
      </c>
      <c r="E267" s="25">
        <v>3367.98</v>
      </c>
      <c r="F267" s="25">
        <v>3671.76</v>
      </c>
      <c r="G267" s="28">
        <v>3671.76</v>
      </c>
      <c r="H267" s="28">
        <v>7608.59</v>
      </c>
      <c r="I267" s="28">
        <v>3348.9</v>
      </c>
      <c r="J267" s="7">
        <f>$B267*'Distributor Payments'!H$21</f>
        <v>7608.5937702151514</v>
      </c>
      <c r="K267" s="7">
        <f>$B267*'Distributor Payments'!I$21</f>
        <v>7608.5937701421753</v>
      </c>
      <c r="L267" s="7">
        <f>$B267*'Distributor Payments'!J$21</f>
        <v>2898.8742262813817</v>
      </c>
      <c r="M267" s="7">
        <f>$B267*'Distributor Payments'!K$21</f>
        <v>8948.6229730319556</v>
      </c>
      <c r="N267" s="7">
        <f>$B267*'Distributor Payments'!L$21</f>
        <v>8948.6229730319556</v>
      </c>
      <c r="O267" s="7">
        <f>$B267*'Distributor Payments'!M$21</f>
        <v>8948.6229730319556</v>
      </c>
      <c r="P267" s="7">
        <f>$B267*'Distributor Payments'!N$21</f>
        <v>7522.22071632392</v>
      </c>
      <c r="Q267" s="7">
        <f>$B267*'Distributor Payments'!O$21</f>
        <v>7522.22071632392</v>
      </c>
      <c r="R267" s="7">
        <f>$B267*'Distributor Payments'!P$21</f>
        <v>7522.22071632392</v>
      </c>
      <c r="S267" s="7">
        <f>$B267*'Distributor Payments'!Q$21</f>
        <v>7522.22071632392</v>
      </c>
      <c r="T267" s="7">
        <f>$B267*'Distributor Payments'!R$21</f>
        <v>7522.22071632392</v>
      </c>
      <c r="U267" s="7">
        <f>$B267*'Distributor Payments'!S$21</f>
        <v>7522.22071632392</v>
      </c>
      <c r="V267" s="7">
        <f>$B267*'Distributor Payments'!T$21</f>
        <v>7522.22071632392</v>
      </c>
      <c r="W267" s="7">
        <f>$B267*'Distributor Payments'!U$21</f>
        <v>7522.22071632392</v>
      </c>
      <c r="X267" s="7">
        <f>B267*'Distributor Payments'!$V$21</f>
        <v>1841.2520202490177</v>
      </c>
      <c r="Y267" s="7">
        <v>0</v>
      </c>
      <c r="Z267" s="7">
        <f t="shared" si="4"/>
        <v>128649.93843657496</v>
      </c>
    </row>
    <row r="268" spans="1:26" customFormat="1" x14ac:dyDescent="0.35">
      <c r="A268" s="3" t="s">
        <v>28</v>
      </c>
      <c r="B268" s="6">
        <v>2.6615292034240005E-2</v>
      </c>
      <c r="C268" s="8" t="s">
        <v>28</v>
      </c>
      <c r="D268" s="33" t="s">
        <v>336</v>
      </c>
      <c r="E268" s="25">
        <v>191964.42</v>
      </c>
      <c r="F268" s="25">
        <v>209278.69</v>
      </c>
      <c r="G268" s="28">
        <v>209278.69</v>
      </c>
      <c r="H268" s="28">
        <v>447004.84</v>
      </c>
      <c r="I268" s="28">
        <v>196748.09</v>
      </c>
      <c r="J268" s="7">
        <f>$B268*'Distributor Payments'!H$21</f>
        <v>447004.83525207976</v>
      </c>
      <c r="K268" s="7">
        <f>$B268*'Distributor Payments'!I$21</f>
        <v>447004.83524779248</v>
      </c>
      <c r="L268" s="7">
        <f>$B268*'Distributor Payments'!J$21</f>
        <v>170308.8422210202</v>
      </c>
      <c r="M268" s="7">
        <f>$B268*'Distributor Payments'!K$21</f>
        <v>525731.54233203514</v>
      </c>
      <c r="N268" s="7">
        <f>$B268*'Distributor Payments'!L$21</f>
        <v>525731.54233203514</v>
      </c>
      <c r="O268" s="7">
        <f>$B268*'Distributor Payments'!M$21</f>
        <v>525731.54233203514</v>
      </c>
      <c r="P268" s="7">
        <f>$B268*'Distributor Payments'!N$21</f>
        <v>441930.41888935986</v>
      </c>
      <c r="Q268" s="7">
        <f>$B268*'Distributor Payments'!O$21</f>
        <v>441930.41888935986</v>
      </c>
      <c r="R268" s="7">
        <f>$B268*'Distributor Payments'!P$21</f>
        <v>441930.41888935986</v>
      </c>
      <c r="S268" s="7">
        <f>$B268*'Distributor Payments'!Q$21</f>
        <v>441930.41888935986</v>
      </c>
      <c r="T268" s="7">
        <f>$B268*'Distributor Payments'!R$21</f>
        <v>441930.41888935986</v>
      </c>
      <c r="U268" s="7">
        <f>$B268*'Distributor Payments'!S$21</f>
        <v>441930.41888935986</v>
      </c>
      <c r="V268" s="7">
        <f>$B268*'Distributor Payments'!T$21</f>
        <v>441930.41888935986</v>
      </c>
      <c r="W268" s="7">
        <f>$B268*'Distributor Payments'!U$21</f>
        <v>441930.41888935986</v>
      </c>
      <c r="X268" s="7">
        <f>B268*'Distributor Payments'!$V$21</f>
        <v>108173.54439277647</v>
      </c>
      <c r="Y268" s="7">
        <v>0</v>
      </c>
      <c r="Z268" s="7">
        <f t="shared" si="4"/>
        <v>7539404.7652246514</v>
      </c>
    </row>
    <row r="269" spans="1:26" customFormat="1" x14ac:dyDescent="0.35">
      <c r="A269" s="3" t="s">
        <v>34</v>
      </c>
      <c r="B269" s="6">
        <v>1.2244580209554681E-3</v>
      </c>
      <c r="C269" s="8" t="s">
        <v>290</v>
      </c>
      <c r="D269" s="33" t="s">
        <v>336</v>
      </c>
      <c r="E269" s="25">
        <v>9103.1200000000008</v>
      </c>
      <c r="F269" s="29">
        <v>9924.18</v>
      </c>
      <c r="G269" s="28">
        <v>9924.18</v>
      </c>
      <c r="H269" s="28">
        <v>20564.82</v>
      </c>
      <c r="I269" s="28">
        <v>9051.56</v>
      </c>
      <c r="J269" s="7">
        <f>$B269*'Distributor Payments'!H$21</f>
        <v>20564.818722490334</v>
      </c>
      <c r="K269" s="7">
        <f>$B269*'Distributor Payments'!I$21</f>
        <v>20564.81872229309</v>
      </c>
      <c r="L269" s="7">
        <f>$B269*'Distributor Payments'!J$21</f>
        <v>7835.1959328077373</v>
      </c>
      <c r="M269" s="7">
        <f>$B269*'Distributor Payments'!K$21</f>
        <v>24186.70450993349</v>
      </c>
      <c r="N269" s="7">
        <f>$B269*'Distributor Payments'!L$21</f>
        <v>24186.70450993349</v>
      </c>
      <c r="O269" s="7">
        <f>$B269*'Distributor Payments'!M$21</f>
        <v>24186.70450993349</v>
      </c>
      <c r="P269" s="7">
        <f>$B269*'Distributor Payments'!N$21</f>
        <v>20331.366096495974</v>
      </c>
      <c r="Q269" s="7">
        <f>$B269*'Distributor Payments'!O$21</f>
        <v>20331.366096495974</v>
      </c>
      <c r="R269" s="7">
        <f>$B269*'Distributor Payments'!P$21</f>
        <v>20331.366096495974</v>
      </c>
      <c r="S269" s="7">
        <f>$B269*'Distributor Payments'!Q$21</f>
        <v>20331.366096495974</v>
      </c>
      <c r="T269" s="7">
        <f>$B269*'Distributor Payments'!R$21</f>
        <v>20331.366096495974</v>
      </c>
      <c r="U269" s="7">
        <f>$B269*'Distributor Payments'!S$21</f>
        <v>20331.366096495974</v>
      </c>
      <c r="V269" s="7">
        <f>$B269*'Distributor Payments'!T$21</f>
        <v>20331.366096495974</v>
      </c>
      <c r="W269" s="7">
        <f>$B269*'Distributor Payments'!U$21</f>
        <v>20331.366096495974</v>
      </c>
      <c r="X269" s="7">
        <f>B269*'Distributor Payments'!$V$21</f>
        <v>4976.6113374415872</v>
      </c>
      <c r="Y269" s="7">
        <v>0</v>
      </c>
      <c r="Z269" s="7">
        <f t="shared" si="4"/>
        <v>347720.34701680107</v>
      </c>
    </row>
    <row r="270" spans="1:26" customFormat="1" x14ac:dyDescent="0.35">
      <c r="A270" s="3" t="s">
        <v>22</v>
      </c>
      <c r="B270" s="6">
        <v>9.3847771248000008E-4</v>
      </c>
      <c r="C270" s="8" t="s">
        <v>291</v>
      </c>
      <c r="D270" s="33" t="s">
        <v>336</v>
      </c>
      <c r="E270" s="25">
        <v>6768.83</v>
      </c>
      <c r="F270" s="25">
        <v>7379.34</v>
      </c>
      <c r="G270" s="28">
        <v>7379.34</v>
      </c>
      <c r="H270" s="28">
        <v>15761.77</v>
      </c>
      <c r="I270" s="28">
        <v>6937.5</v>
      </c>
      <c r="J270" s="7">
        <f>$B270*'Distributor Payments'!H$21</f>
        <v>15761.768637187528</v>
      </c>
      <c r="K270" s="7">
        <f>$B270*'Distributor Payments'!I$21</f>
        <v>15761.768637036352</v>
      </c>
      <c r="L270" s="7">
        <f>$B270*'Distributor Payments'!J$21</f>
        <v>6005.2338504150566</v>
      </c>
      <c r="M270" s="7">
        <f>$B270*'Distributor Payments'!K$21</f>
        <v>18537.738928117655</v>
      </c>
      <c r="N270" s="7">
        <f>$B270*'Distributor Payments'!L$21</f>
        <v>18537.738928117655</v>
      </c>
      <c r="O270" s="7">
        <f>$B270*'Distributor Payments'!M$21</f>
        <v>18537.738928117655</v>
      </c>
      <c r="P270" s="7">
        <f>$B270*'Distributor Payments'!N$21</f>
        <v>15582.840423507587</v>
      </c>
      <c r="Q270" s="7">
        <f>$B270*'Distributor Payments'!O$21</f>
        <v>15582.840423507587</v>
      </c>
      <c r="R270" s="7">
        <f>$B270*'Distributor Payments'!P$21</f>
        <v>15582.840423507587</v>
      </c>
      <c r="S270" s="7">
        <f>$B270*'Distributor Payments'!Q$21</f>
        <v>15582.840423507587</v>
      </c>
      <c r="T270" s="7">
        <f>$B270*'Distributor Payments'!R$21</f>
        <v>15582.840423507587</v>
      </c>
      <c r="U270" s="7">
        <f>$B270*'Distributor Payments'!S$21</f>
        <v>15582.840423507587</v>
      </c>
      <c r="V270" s="7">
        <f>$B270*'Distributor Payments'!T$21</f>
        <v>15582.840423507587</v>
      </c>
      <c r="W270" s="7">
        <f>$B270*'Distributor Payments'!U$21</f>
        <v>15582.840423507587</v>
      </c>
      <c r="X270" s="7">
        <f>B270*'Distributor Payments'!$V$21</f>
        <v>3814.2906852942015</v>
      </c>
      <c r="Y270" s="7">
        <v>0</v>
      </c>
      <c r="Z270" s="7">
        <f t="shared" si="4"/>
        <v>265845.78198234679</v>
      </c>
    </row>
    <row r="271" spans="1:26" customFormat="1" x14ac:dyDescent="0.35">
      <c r="A271" s="3" t="s">
        <v>22</v>
      </c>
      <c r="B271" s="6">
        <v>0.11816208189432</v>
      </c>
      <c r="C271" s="8" t="s">
        <v>22</v>
      </c>
      <c r="D271" s="33" t="s">
        <v>336</v>
      </c>
      <c r="E271" s="25">
        <v>822863.25</v>
      </c>
      <c r="F271" s="25">
        <v>897081.6</v>
      </c>
      <c r="G271" s="28">
        <v>897081.6</v>
      </c>
      <c r="H271" s="28">
        <v>1984536.63</v>
      </c>
      <c r="I271" s="28">
        <v>873488.98</v>
      </c>
      <c r="J271" s="7">
        <f>$B271*'Distributor Payments'!H$21</f>
        <v>1984536.6296286632</v>
      </c>
      <c r="K271" s="7">
        <f>$B271*'Distributor Payments'!I$21</f>
        <v>1984536.629609629</v>
      </c>
      <c r="L271" s="7">
        <f>$B271*'Distributor Payments'!J$21</f>
        <v>756108.45584402583</v>
      </c>
      <c r="M271" s="7">
        <f>$B271*'Distributor Payments'!K$21</f>
        <v>2334054.1775587909</v>
      </c>
      <c r="N271" s="7">
        <f>$B271*'Distributor Payments'!L$21</f>
        <v>2334054.1775587909</v>
      </c>
      <c r="O271" s="7">
        <f>$B271*'Distributor Payments'!M$21</f>
        <v>2334054.1775587909</v>
      </c>
      <c r="P271" s="7">
        <f>$B271*'Distributor Payments'!N$21</f>
        <v>1962008.0922357158</v>
      </c>
      <c r="Q271" s="7">
        <f>$B271*'Distributor Payments'!O$21</f>
        <v>1962008.0922357158</v>
      </c>
      <c r="R271" s="7">
        <f>$B271*'Distributor Payments'!P$21</f>
        <v>1962008.0922357158</v>
      </c>
      <c r="S271" s="7">
        <f>$B271*'Distributor Payments'!Q$21</f>
        <v>1962008.0922357158</v>
      </c>
      <c r="T271" s="7">
        <f>$B271*'Distributor Payments'!R$21</f>
        <v>1962008.0922357158</v>
      </c>
      <c r="U271" s="7">
        <f>$B271*'Distributor Payments'!S$21</f>
        <v>1962008.0922357158</v>
      </c>
      <c r="V271" s="7">
        <f>$B271*'Distributor Payments'!T$21</f>
        <v>1962008.0922357158</v>
      </c>
      <c r="W271" s="7">
        <f>$B271*'Distributor Payments'!U$21</f>
        <v>1962008.0922357158</v>
      </c>
      <c r="X271" s="7">
        <f>B271*'Distributor Payments'!$V$21</f>
        <v>480250.64669192163</v>
      </c>
      <c r="Y271" s="10">
        <f>'Distributor Payments'!W21</f>
        <v>93466.11</v>
      </c>
      <c r="Z271" s="7">
        <f t="shared" si="4"/>
        <v>33472177.802336324</v>
      </c>
    </row>
    <row r="272" spans="1:26" customFormat="1" x14ac:dyDescent="0.35">
      <c r="A272" s="3" t="s">
        <v>34</v>
      </c>
      <c r="B272" s="6">
        <v>1.4689236543824534E-3</v>
      </c>
      <c r="C272" s="8" t="s">
        <v>292</v>
      </c>
      <c r="D272" s="33" t="s">
        <v>336</v>
      </c>
      <c r="E272" s="25">
        <v>10920.58</v>
      </c>
      <c r="F272" s="29">
        <v>11905.56</v>
      </c>
      <c r="G272" s="28">
        <v>11905.56</v>
      </c>
      <c r="H272" s="28">
        <v>24670.63</v>
      </c>
      <c r="I272" s="28">
        <v>10858.72</v>
      </c>
      <c r="J272" s="7">
        <f>$B272*'Distributor Payments'!H$21</f>
        <v>24670.628271911843</v>
      </c>
      <c r="K272" s="7">
        <f>$B272*'Distributor Payments'!I$21</f>
        <v>24670.628271675221</v>
      </c>
      <c r="L272" s="7">
        <f>$B272*'Distributor Payments'!J$21</f>
        <v>9399.5093710452766</v>
      </c>
      <c r="M272" s="7">
        <f>$B272*'Distributor Payments'!K$21</f>
        <v>29015.631216557802</v>
      </c>
      <c r="N272" s="7">
        <f>$B272*'Distributor Payments'!L$21</f>
        <v>29015.631216557802</v>
      </c>
      <c r="O272" s="7">
        <f>$B272*'Distributor Payments'!M$21</f>
        <v>29015.631216557802</v>
      </c>
      <c r="P272" s="7">
        <f>$B272*'Distributor Payments'!N$21</f>
        <v>24390.566335420772</v>
      </c>
      <c r="Q272" s="7">
        <f>$B272*'Distributor Payments'!O$21</f>
        <v>24390.566335420772</v>
      </c>
      <c r="R272" s="7">
        <f>$B272*'Distributor Payments'!P$21</f>
        <v>24390.566335420772</v>
      </c>
      <c r="S272" s="7">
        <f>$B272*'Distributor Payments'!Q$21</f>
        <v>24390.566335420772</v>
      </c>
      <c r="T272" s="7">
        <f>$B272*'Distributor Payments'!R$21</f>
        <v>24390.566335420772</v>
      </c>
      <c r="U272" s="7">
        <f>$B272*'Distributor Payments'!S$21</f>
        <v>24390.566335420772</v>
      </c>
      <c r="V272" s="7">
        <f>$B272*'Distributor Payments'!T$21</f>
        <v>24390.566335420772</v>
      </c>
      <c r="W272" s="7">
        <f>$B272*'Distributor Payments'!U$21</f>
        <v>24390.566335420772</v>
      </c>
      <c r="X272" s="7">
        <f>B272*'Distributor Payments'!$V$21</f>
        <v>5970.2023157408912</v>
      </c>
      <c r="Y272" s="7">
        <v>0</v>
      </c>
      <c r="Z272" s="7">
        <f t="shared" si="4"/>
        <v>417143.44256341277</v>
      </c>
    </row>
    <row r="273" spans="1:26" customFormat="1" x14ac:dyDescent="0.35">
      <c r="A273" s="3" t="s">
        <v>22</v>
      </c>
      <c r="B273" s="6">
        <v>3.6531164913600001E-3</v>
      </c>
      <c r="C273" s="8" t="s">
        <v>293</v>
      </c>
      <c r="D273" s="33" t="s">
        <v>336</v>
      </c>
      <c r="E273" s="25">
        <v>26348.33</v>
      </c>
      <c r="F273" s="25">
        <v>28724.82</v>
      </c>
      <c r="G273" s="28">
        <v>28724.82</v>
      </c>
      <c r="H273" s="28">
        <v>61354.23</v>
      </c>
      <c r="I273" s="28">
        <v>27004.92</v>
      </c>
      <c r="J273" s="7">
        <f>$B273*'Distributor Payments'!H$21</f>
        <v>61354.229488681296</v>
      </c>
      <c r="K273" s="7">
        <f>$B273*'Distributor Payments'!I$21</f>
        <v>61354.229488092838</v>
      </c>
      <c r="L273" s="7">
        <f>$B273*'Distributor Payments'!J$21</f>
        <v>23375.961433811965</v>
      </c>
      <c r="M273" s="7">
        <f>$B273*'Distributor Payments'!K$21</f>
        <v>72159.965964323361</v>
      </c>
      <c r="N273" s="7">
        <f>$B273*'Distributor Payments'!L$21</f>
        <v>72159.965964323361</v>
      </c>
      <c r="O273" s="7">
        <f>$B273*'Distributor Payments'!M$21</f>
        <v>72159.965964323361</v>
      </c>
      <c r="P273" s="7">
        <f>$B273*'Distributor Payments'!N$21</f>
        <v>60657.733877254934</v>
      </c>
      <c r="Q273" s="7">
        <f>$B273*'Distributor Payments'!O$21</f>
        <v>60657.733877254934</v>
      </c>
      <c r="R273" s="7">
        <f>$B273*'Distributor Payments'!P$21</f>
        <v>60657.733877254934</v>
      </c>
      <c r="S273" s="7">
        <f>$B273*'Distributor Payments'!Q$21</f>
        <v>60657.733877254934</v>
      </c>
      <c r="T273" s="7">
        <f>$B273*'Distributor Payments'!R$21</f>
        <v>60657.733877254934</v>
      </c>
      <c r="U273" s="7">
        <f>$B273*'Distributor Payments'!S$21</f>
        <v>60657.733877254934</v>
      </c>
      <c r="V273" s="7">
        <f>$B273*'Distributor Payments'!T$21</f>
        <v>60657.733877254934</v>
      </c>
      <c r="W273" s="7">
        <f>$B273*'Distributor Payments'!U$21</f>
        <v>60657.733877254934</v>
      </c>
      <c r="X273" s="7">
        <f>B273*'Distributor Payments'!$V$21</f>
        <v>14847.50039344811</v>
      </c>
      <c r="Y273" s="7">
        <v>0</v>
      </c>
      <c r="Z273" s="7">
        <f t="shared" si="4"/>
        <v>1034830.8097150434</v>
      </c>
    </row>
    <row r="274" spans="1:26" customFormat="1" x14ac:dyDescent="0.35">
      <c r="A274" s="3" t="s">
        <v>66</v>
      </c>
      <c r="B274" s="6">
        <v>3.3453814497600002E-3</v>
      </c>
      <c r="C274" s="8" t="s">
        <v>66</v>
      </c>
      <c r="D274" s="33" t="s">
        <v>336</v>
      </c>
      <c r="E274" s="25">
        <v>24128.77</v>
      </c>
      <c r="F274" s="25">
        <v>26305.07</v>
      </c>
      <c r="G274" s="28">
        <v>26305.07</v>
      </c>
      <c r="H274" s="28">
        <v>56185.81</v>
      </c>
      <c r="I274" s="28">
        <v>24730.05</v>
      </c>
      <c r="J274" s="7">
        <f>$B274*'Distributor Payments'!H$21</f>
        <v>56185.807838648936</v>
      </c>
      <c r="K274" s="7">
        <f>$B274*'Distributor Payments'!I$21</f>
        <v>56185.807838110049</v>
      </c>
      <c r="L274" s="7">
        <f>$B274*'Distributor Payments'!J$21</f>
        <v>21406.792785265516</v>
      </c>
      <c r="M274" s="7">
        <f>$B274*'Distributor Payments'!K$21</f>
        <v>66081.279401656808</v>
      </c>
      <c r="N274" s="7">
        <f>$B274*'Distributor Payments'!L$21</f>
        <v>66081.279401656808</v>
      </c>
      <c r="O274" s="7">
        <f>$B274*'Distributor Payments'!M$21</f>
        <v>66081.279401656808</v>
      </c>
      <c r="P274" s="7">
        <f>$B274*'Distributor Payments'!N$21</f>
        <v>55547.984351821782</v>
      </c>
      <c r="Q274" s="7">
        <f>$B274*'Distributor Payments'!O$21</f>
        <v>55547.984351821782</v>
      </c>
      <c r="R274" s="7">
        <f>$B274*'Distributor Payments'!P$21</f>
        <v>55547.984351821782</v>
      </c>
      <c r="S274" s="7">
        <f>$B274*'Distributor Payments'!Q$21</f>
        <v>55547.984351821782</v>
      </c>
      <c r="T274" s="7">
        <f>$B274*'Distributor Payments'!R$21</f>
        <v>55547.984351821782</v>
      </c>
      <c r="U274" s="7">
        <f>$B274*'Distributor Payments'!S$21</f>
        <v>55547.984351821782</v>
      </c>
      <c r="V274" s="7">
        <f>$B274*'Distributor Payments'!T$21</f>
        <v>55547.984351821782</v>
      </c>
      <c r="W274" s="7">
        <f>$B274*'Distributor Payments'!U$21</f>
        <v>55547.984351821782</v>
      </c>
      <c r="X274" s="7">
        <f>B274*'Distributor Payments'!$V$21</f>
        <v>13596.761151477547</v>
      </c>
      <c r="Y274" s="7">
        <v>0</v>
      </c>
      <c r="Z274" s="7">
        <f t="shared" si="4"/>
        <v>947657.65263304708</v>
      </c>
    </row>
    <row r="275" spans="1:26" customFormat="1" x14ac:dyDescent="0.35">
      <c r="A275" s="3" t="s">
        <v>34</v>
      </c>
      <c r="B275" s="6">
        <v>3.278935568000227E-4</v>
      </c>
      <c r="C275" s="8" t="s">
        <v>294</v>
      </c>
      <c r="D275" s="33" t="s">
        <v>336</v>
      </c>
      <c r="E275" s="25">
        <v>2437.69</v>
      </c>
      <c r="F275" s="29">
        <v>2657.56</v>
      </c>
      <c r="G275" s="28">
        <v>2657.56</v>
      </c>
      <c r="H275" s="28">
        <v>5506.98</v>
      </c>
      <c r="I275" s="28">
        <v>2423.89</v>
      </c>
      <c r="J275" s="7">
        <f>$B275*'Distributor Payments'!H$21</f>
        <v>5506.9846744139959</v>
      </c>
      <c r="K275" s="7">
        <f>$B275*'Distributor Payments'!I$21</f>
        <v>5506.984674361177</v>
      </c>
      <c r="L275" s="7">
        <f>$B275*'Distributor Payments'!J$21</f>
        <v>2098.1611608282615</v>
      </c>
      <c r="M275" s="7">
        <f>$B275*'Distributor Payments'!K$21</f>
        <v>6476.8774701192224</v>
      </c>
      <c r="N275" s="7">
        <f>$B275*'Distributor Payments'!L$21</f>
        <v>6476.8774701192224</v>
      </c>
      <c r="O275" s="7">
        <f>$B275*'Distributor Payments'!M$21</f>
        <v>6476.8774701192224</v>
      </c>
      <c r="P275" s="7">
        <f>$B275*'Distributor Payments'!N$21</f>
        <v>5444.4691691279386</v>
      </c>
      <c r="Q275" s="7">
        <f>$B275*'Distributor Payments'!O$21</f>
        <v>5444.4691691279386</v>
      </c>
      <c r="R275" s="7">
        <f>$B275*'Distributor Payments'!P$21</f>
        <v>5444.4691691279386</v>
      </c>
      <c r="S275" s="7">
        <f>$B275*'Distributor Payments'!Q$21</f>
        <v>5444.4691691279386</v>
      </c>
      <c r="T275" s="7">
        <f>$B275*'Distributor Payments'!R$21</f>
        <v>5444.4691691279386</v>
      </c>
      <c r="U275" s="7">
        <f>$B275*'Distributor Payments'!S$21</f>
        <v>5444.4691691279386</v>
      </c>
      <c r="V275" s="7">
        <f>$B275*'Distributor Payments'!T$21</f>
        <v>5444.4691691279386</v>
      </c>
      <c r="W275" s="7">
        <f>$B275*'Distributor Payments'!U$21</f>
        <v>5444.4691691279386</v>
      </c>
      <c r="X275" s="7">
        <f>B275*'Distributor Payments'!$V$21</f>
        <v>1332.6702625311041</v>
      </c>
      <c r="Y275" s="7">
        <v>0</v>
      </c>
      <c r="Z275" s="7">
        <f t="shared" si="4"/>
        <v>93114.866535515728</v>
      </c>
    </row>
    <row r="276" spans="1:26" customFormat="1" x14ac:dyDescent="0.35">
      <c r="A276" s="3" t="s">
        <v>34</v>
      </c>
      <c r="B276" s="6">
        <v>2.0690748366341459E-4</v>
      </c>
      <c r="C276" s="8" t="s">
        <v>295</v>
      </c>
      <c r="D276" s="33" t="s">
        <v>336</v>
      </c>
      <c r="E276" s="25">
        <v>1538.23</v>
      </c>
      <c r="F276" s="25">
        <v>1676.98</v>
      </c>
      <c r="G276" s="28">
        <v>1676.98</v>
      </c>
      <c r="H276" s="28">
        <v>3475.02</v>
      </c>
      <c r="I276" s="28">
        <v>1529.52</v>
      </c>
      <c r="J276" s="7">
        <f>$B276*'Distributor Payments'!H$21</f>
        <v>3475.0190051795171</v>
      </c>
      <c r="K276" s="7">
        <f>$B276*'Distributor Payments'!I$21</f>
        <v>3475.0190051461873</v>
      </c>
      <c r="L276" s="7">
        <f>$B276*'Distributor Payments'!J$21</f>
        <v>1323.9822408954833</v>
      </c>
      <c r="M276" s="7">
        <f>$B276*'Distributor Payments'!K$21</f>
        <v>4087.0410276343014</v>
      </c>
      <c r="N276" s="7">
        <f>$B276*'Distributor Payments'!L$21</f>
        <v>4087.0410276343014</v>
      </c>
      <c r="O276" s="7">
        <f>$B276*'Distributor Payments'!M$21</f>
        <v>4087.0410276343014</v>
      </c>
      <c r="P276" s="7">
        <f>$B276*'Distributor Payments'!N$21</f>
        <v>3435.570453597963</v>
      </c>
      <c r="Q276" s="7">
        <f>$B276*'Distributor Payments'!O$21</f>
        <v>3435.570453597963</v>
      </c>
      <c r="R276" s="7">
        <f>$B276*'Distributor Payments'!P$21</f>
        <v>3435.570453597963</v>
      </c>
      <c r="S276" s="7">
        <f>$B276*'Distributor Payments'!Q$21</f>
        <v>3435.570453597963</v>
      </c>
      <c r="T276" s="7">
        <f>$B276*'Distributor Payments'!R$21</f>
        <v>3435.570453597963</v>
      </c>
      <c r="U276" s="7">
        <f>$B276*'Distributor Payments'!S$21</f>
        <v>3435.570453597963</v>
      </c>
      <c r="V276" s="7">
        <f>$B276*'Distributor Payments'!T$21</f>
        <v>3435.570453597963</v>
      </c>
      <c r="W276" s="7">
        <f>$B276*'Distributor Payments'!U$21</f>
        <v>3435.570453597963</v>
      </c>
      <c r="X276" s="7">
        <f>B276*'Distributor Payments'!$V$21</f>
        <v>840.94196075204422</v>
      </c>
      <c r="Y276" s="7">
        <v>0</v>
      </c>
      <c r="Z276" s="7">
        <f t="shared" si="4"/>
        <v>58757.378923659824</v>
      </c>
    </row>
    <row r="277" spans="1:26" customFormat="1" x14ac:dyDescent="0.35">
      <c r="A277" s="3" t="s">
        <v>22</v>
      </c>
      <c r="B277" s="6">
        <v>3.2032800110501065E-4</v>
      </c>
      <c r="C277" s="8" t="s">
        <v>296</v>
      </c>
      <c r="D277" s="33" t="s">
        <v>336</v>
      </c>
      <c r="E277" s="25">
        <v>2381.4499999999998</v>
      </c>
      <c r="F277" s="25">
        <v>2596.2399999999998</v>
      </c>
      <c r="G277" s="28">
        <v>2596.2399999999998</v>
      </c>
      <c r="H277" s="28">
        <v>5379.92</v>
      </c>
      <c r="I277" s="28">
        <v>2367.96</v>
      </c>
      <c r="J277" s="7">
        <f>$B277*'Distributor Payments'!H$21</f>
        <v>5379.9208806863662</v>
      </c>
      <c r="K277" s="7">
        <f>$B277*'Distributor Payments'!I$21</f>
        <v>5379.920880634766</v>
      </c>
      <c r="L277" s="7">
        <f>$B277*'Distributor Payments'!J$21</f>
        <v>2049.7498554208833</v>
      </c>
      <c r="M277" s="7">
        <f>$B277*'Distributor Payments'!K$21</f>
        <v>6327.4351397844393</v>
      </c>
      <c r="N277" s="7">
        <f>$B277*'Distributor Payments'!L$21</f>
        <v>6327.4351397844393</v>
      </c>
      <c r="O277" s="7">
        <f>$B277*'Distributor Payments'!M$21</f>
        <v>6327.4351397844393</v>
      </c>
      <c r="P277" s="7">
        <f>$B277*'Distributor Payments'!N$21</f>
        <v>5318.8478085534925</v>
      </c>
      <c r="Q277" s="7">
        <f>$B277*'Distributor Payments'!O$21</f>
        <v>5318.8478085534925</v>
      </c>
      <c r="R277" s="7">
        <f>$B277*'Distributor Payments'!P$21</f>
        <v>5318.8478085534925</v>
      </c>
      <c r="S277" s="7">
        <f>$B277*'Distributor Payments'!Q$21</f>
        <v>5318.8478085534925</v>
      </c>
      <c r="T277" s="7">
        <f>$B277*'Distributor Payments'!R$21</f>
        <v>5318.8478085534925</v>
      </c>
      <c r="U277" s="7">
        <f>$B277*'Distributor Payments'!S$21</f>
        <v>5318.8478085534925</v>
      </c>
      <c r="V277" s="7">
        <f>$B277*'Distributor Payments'!T$21</f>
        <v>5318.8478085534925</v>
      </c>
      <c r="W277" s="7">
        <f>$B277*'Distributor Payments'!U$21</f>
        <v>5318.8478085534925</v>
      </c>
      <c r="X277" s="7">
        <f>B277*'Distributor Payments'!$V$21</f>
        <v>1301.9212865748168</v>
      </c>
      <c r="Y277" s="7">
        <v>0</v>
      </c>
      <c r="Z277" s="7">
        <f t="shared" si="4"/>
        <v>90966.410791098067</v>
      </c>
    </row>
    <row r="278" spans="1:26" customFormat="1" x14ac:dyDescent="0.35">
      <c r="A278" s="3" t="s">
        <v>22</v>
      </c>
      <c r="B278" s="6">
        <v>5.4707534613408662E-4</v>
      </c>
      <c r="C278" s="8" t="s">
        <v>297</v>
      </c>
      <c r="D278" s="33" t="s">
        <v>336</v>
      </c>
      <c r="E278" s="25">
        <v>4067.18</v>
      </c>
      <c r="F278" s="25">
        <v>4434.0200000000004</v>
      </c>
      <c r="G278" s="28">
        <v>4434.0200000000004</v>
      </c>
      <c r="H278" s="28">
        <v>9188.15</v>
      </c>
      <c r="I278" s="28">
        <v>4044.14</v>
      </c>
      <c r="J278" s="7">
        <f>$B278*'Distributor Payments'!H$21</f>
        <v>9188.1511070605411</v>
      </c>
      <c r="K278" s="7">
        <f>$B278*'Distributor Payments'!I$21</f>
        <v>9188.1511069724147</v>
      </c>
      <c r="L278" s="7">
        <f>$B278*'Distributor Payments'!J$21</f>
        <v>3500.6855715840607</v>
      </c>
      <c r="M278" s="7">
        <f>$B278*'Distributor Payments'!K$21</f>
        <v>10806.372709527104</v>
      </c>
      <c r="N278" s="7">
        <f>$B278*'Distributor Payments'!L$21</f>
        <v>10806.372709527104</v>
      </c>
      <c r="O278" s="7">
        <f>$B278*'Distributor Payments'!M$21</f>
        <v>10806.372709527104</v>
      </c>
      <c r="P278" s="7">
        <f>$B278*'Distributor Payments'!N$21</f>
        <v>9083.8468565382427</v>
      </c>
      <c r="Q278" s="7">
        <f>$B278*'Distributor Payments'!O$21</f>
        <v>9083.8468565382427</v>
      </c>
      <c r="R278" s="7">
        <f>$B278*'Distributor Payments'!P$21</f>
        <v>9083.8468565382427</v>
      </c>
      <c r="S278" s="7">
        <f>$B278*'Distributor Payments'!Q$21</f>
        <v>9083.8468565382427</v>
      </c>
      <c r="T278" s="7">
        <f>$B278*'Distributor Payments'!R$21</f>
        <v>9083.8468565382427</v>
      </c>
      <c r="U278" s="7">
        <f>$B278*'Distributor Payments'!S$21</f>
        <v>9083.8468565382427</v>
      </c>
      <c r="V278" s="7">
        <f>$B278*'Distributor Payments'!T$21</f>
        <v>9083.8468565382427</v>
      </c>
      <c r="W278" s="7">
        <f>$B278*'Distributor Payments'!U$21</f>
        <v>9083.8468565382427</v>
      </c>
      <c r="X278" s="7">
        <f>B278*'Distributor Payments'!$V$21</f>
        <v>2223.4991509804422</v>
      </c>
      <c r="Y278" s="7">
        <v>0</v>
      </c>
      <c r="Z278" s="7">
        <f t="shared" si="4"/>
        <v>155357.88991748466</v>
      </c>
    </row>
    <row r="279" spans="1:26" customFormat="1" x14ac:dyDescent="0.35">
      <c r="A279" s="3" t="s">
        <v>14</v>
      </c>
      <c r="B279" s="6">
        <v>1.4307162611163703E-3</v>
      </c>
      <c r="C279" s="8" t="s">
        <v>298</v>
      </c>
      <c r="D279" s="33" t="s">
        <v>336</v>
      </c>
      <c r="E279" s="25">
        <v>10636.53</v>
      </c>
      <c r="F279" s="25">
        <v>11595.89</v>
      </c>
      <c r="G279" s="28">
        <v>11595.89</v>
      </c>
      <c r="H279" s="28">
        <v>24028.93</v>
      </c>
      <c r="I279" s="28">
        <v>10576.28</v>
      </c>
      <c r="J279" s="7">
        <f>$B279*'Distributor Payments'!H$21</f>
        <v>24028.93365851646</v>
      </c>
      <c r="K279" s="7">
        <f>$B279*'Distributor Payments'!I$21</f>
        <v>24028.933658285994</v>
      </c>
      <c r="L279" s="7">
        <f>$B279*'Distributor Payments'!J$21</f>
        <v>9155.0237233560238</v>
      </c>
      <c r="M279" s="7">
        <f>$B279*'Distributor Payments'!K$21</f>
        <v>28260.921038498393</v>
      </c>
      <c r="N279" s="7">
        <f>$B279*'Distributor Payments'!L$21</f>
        <v>28260.921038498393</v>
      </c>
      <c r="O279" s="7">
        <f>$B279*'Distributor Payments'!M$21</f>
        <v>28260.921038498393</v>
      </c>
      <c r="P279" s="7">
        <f>$B279*'Distributor Payments'!N$21</f>
        <v>23756.156264359804</v>
      </c>
      <c r="Q279" s="7">
        <f>$B279*'Distributor Payments'!O$21</f>
        <v>23756.156264359804</v>
      </c>
      <c r="R279" s="7">
        <f>$B279*'Distributor Payments'!P$21</f>
        <v>23756.156264359804</v>
      </c>
      <c r="S279" s="7">
        <f>$B279*'Distributor Payments'!Q$21</f>
        <v>23756.156264359804</v>
      </c>
      <c r="T279" s="7">
        <f>$B279*'Distributor Payments'!R$21</f>
        <v>23756.156264359804</v>
      </c>
      <c r="U279" s="7">
        <f>$B279*'Distributor Payments'!S$21</f>
        <v>23756.156264359804</v>
      </c>
      <c r="V279" s="7">
        <f>$B279*'Distributor Payments'!T$21</f>
        <v>23756.156264359804</v>
      </c>
      <c r="W279" s="7">
        <f>$B279*'Distributor Payments'!U$21</f>
        <v>23756.156264359804</v>
      </c>
      <c r="X279" s="7">
        <f>B279*'Distributor Payments'!$V$21</f>
        <v>5814.9145531161621</v>
      </c>
      <c r="Y279" s="7">
        <v>0</v>
      </c>
      <c r="Z279" s="7">
        <f t="shared" si="4"/>
        <v>406293.3388236484</v>
      </c>
    </row>
    <row r="280" spans="1:26" customFormat="1" x14ac:dyDescent="0.35">
      <c r="A280" s="3" t="s">
        <v>28</v>
      </c>
      <c r="B280" s="6">
        <v>3.2417317939293158E-4</v>
      </c>
      <c r="C280" s="8" t="s">
        <v>299</v>
      </c>
      <c r="D280" s="33" t="s">
        <v>336</v>
      </c>
      <c r="E280" s="25">
        <v>2410.04</v>
      </c>
      <c r="F280" s="29">
        <v>2627.41</v>
      </c>
      <c r="G280" s="28">
        <v>2627.41</v>
      </c>
      <c r="H280" s="28">
        <v>5444.5</v>
      </c>
      <c r="I280" s="28">
        <v>2396.38</v>
      </c>
      <c r="J280" s="7">
        <f>$B280*'Distributor Payments'!H$21</f>
        <v>5444.5007953044642</v>
      </c>
      <c r="K280" s="7">
        <f>$B280*'Distributor Payments'!I$21</f>
        <v>5444.5007952522446</v>
      </c>
      <c r="L280" s="7">
        <f>$B280*'Distributor Payments'!J$21</f>
        <v>2074.3548028889309</v>
      </c>
      <c r="M280" s="7">
        <f>$B280*'Distributor Payments'!K$21</f>
        <v>6403.3889000982344</v>
      </c>
      <c r="N280" s="7">
        <f>$B280*'Distributor Payments'!L$21</f>
        <v>6403.3889000982344</v>
      </c>
      <c r="O280" s="7">
        <f>$B280*'Distributor Payments'!M$21</f>
        <v>6403.3889000982344</v>
      </c>
      <c r="P280" s="7">
        <f>$B280*'Distributor Payments'!N$21</f>
        <v>5382.6946094564864</v>
      </c>
      <c r="Q280" s="7">
        <f>$B280*'Distributor Payments'!O$21</f>
        <v>5382.6946094564864</v>
      </c>
      <c r="R280" s="7">
        <f>$B280*'Distributor Payments'!P$21</f>
        <v>5382.6946094564864</v>
      </c>
      <c r="S280" s="7">
        <f>$B280*'Distributor Payments'!Q$21</f>
        <v>5382.6946094564864</v>
      </c>
      <c r="T280" s="7">
        <f>$B280*'Distributor Payments'!R$21</f>
        <v>5382.6946094564864</v>
      </c>
      <c r="U280" s="7">
        <f>$B280*'Distributor Payments'!S$21</f>
        <v>5382.6946094564864</v>
      </c>
      <c r="V280" s="7">
        <f>$B280*'Distributor Payments'!T$21</f>
        <v>5382.6946094564864</v>
      </c>
      <c r="W280" s="7">
        <f>$B280*'Distributor Payments'!U$21</f>
        <v>5382.6946094564864</v>
      </c>
      <c r="X280" s="7">
        <f>B280*'Distributor Payments'!$V$21</f>
        <v>1317.5493910378996</v>
      </c>
      <c r="Y280" s="7">
        <v>0</v>
      </c>
      <c r="Z280" s="7">
        <f t="shared" ref="Z280:Z283" si="5">SUM(E280:Y280)</f>
        <v>92058.369360430152</v>
      </c>
    </row>
    <row r="281" spans="1:26" customFormat="1" x14ac:dyDescent="0.35">
      <c r="A281" s="3" t="s">
        <v>28</v>
      </c>
      <c r="B281" s="6">
        <v>5.032911415654228E-4</v>
      </c>
      <c r="C281" s="8" t="s">
        <v>300</v>
      </c>
      <c r="D281" s="33" t="s">
        <v>336</v>
      </c>
      <c r="E281" s="25">
        <v>3741.67</v>
      </c>
      <c r="F281" s="25">
        <v>4079.15</v>
      </c>
      <c r="G281" s="28">
        <v>4079.15</v>
      </c>
      <c r="H281" s="28">
        <v>8452.7900000000009</v>
      </c>
      <c r="I281" s="28">
        <v>3720.48</v>
      </c>
      <c r="J281" s="7">
        <f>$B281*'Distributor Payments'!H$21</f>
        <v>8452.7937371440185</v>
      </c>
      <c r="K281" s="7">
        <f>$B281*'Distributor Payments'!I$21</f>
        <v>8452.7937370629443</v>
      </c>
      <c r="L281" s="7">
        <f>$B281*'Distributor Payments'!J$21</f>
        <v>3220.5144136623521</v>
      </c>
      <c r="M281" s="7">
        <f>$B281*'Distributor Payments'!K$21</f>
        <v>9941.5038451144246</v>
      </c>
      <c r="N281" s="7">
        <f>$B281*'Distributor Payments'!L$21</f>
        <v>9941.5038451144246</v>
      </c>
      <c r="O281" s="7">
        <f>$B281*'Distributor Payments'!M$21</f>
        <v>9941.5038451144246</v>
      </c>
      <c r="P281" s="7">
        <f>$B281*'Distributor Payments'!N$21</f>
        <v>8356.837292229342</v>
      </c>
      <c r="Q281" s="7">
        <f>$B281*'Distributor Payments'!O$21</f>
        <v>8356.837292229342</v>
      </c>
      <c r="R281" s="7">
        <f>$B281*'Distributor Payments'!P$21</f>
        <v>8356.837292229342</v>
      </c>
      <c r="S281" s="7">
        <f>$B281*'Distributor Payments'!Q$21</f>
        <v>8356.837292229342</v>
      </c>
      <c r="T281" s="7">
        <f>$B281*'Distributor Payments'!R$21</f>
        <v>8356.837292229342</v>
      </c>
      <c r="U281" s="7">
        <f>$B281*'Distributor Payments'!S$21</f>
        <v>8356.837292229342</v>
      </c>
      <c r="V281" s="7">
        <f>$B281*'Distributor Payments'!T$21</f>
        <v>8356.837292229342</v>
      </c>
      <c r="W281" s="7">
        <f>$B281*'Distributor Payments'!U$21</f>
        <v>8356.837292229342</v>
      </c>
      <c r="X281" s="7">
        <f>B281*'Distributor Payments'!$V$21</f>
        <v>2045.545341925196</v>
      </c>
      <c r="Y281" s="7">
        <v>0</v>
      </c>
      <c r="Z281" s="7">
        <f t="shared" si="5"/>
        <v>142924.09710297256</v>
      </c>
    </row>
    <row r="282" spans="1:26" customFormat="1" x14ac:dyDescent="0.35">
      <c r="A282" s="3" t="s">
        <v>24</v>
      </c>
      <c r="B282" s="6">
        <v>3.4449877760457053E-5</v>
      </c>
      <c r="C282" s="8" t="s">
        <v>301</v>
      </c>
      <c r="D282" s="33" t="s">
        <v>336</v>
      </c>
      <c r="E282" s="25">
        <v>256.11</v>
      </c>
      <c r="F282" s="29">
        <v>279.20999999999998</v>
      </c>
      <c r="G282" s="28">
        <v>279.20999999999998</v>
      </c>
      <c r="H282" s="28">
        <v>578.59</v>
      </c>
      <c r="I282" s="28">
        <v>254.66</v>
      </c>
      <c r="J282" s="7">
        <f>$B282*'Distributor Payments'!H$21</f>
        <v>578.58699851786594</v>
      </c>
      <c r="K282" s="7">
        <f>$B282*'Distributor Payments'!I$21</f>
        <v>578.58699851231665</v>
      </c>
      <c r="L282" s="7">
        <f>$B282*'Distributor Payments'!J$21</f>
        <v>220.44164642233454</v>
      </c>
      <c r="M282" s="7">
        <f>$B282*'Distributor Payments'!K$21</f>
        <v>680.48801962628283</v>
      </c>
      <c r="N282" s="7">
        <f>$B282*'Distributor Payments'!L$21</f>
        <v>680.48801962628283</v>
      </c>
      <c r="O282" s="7">
        <f>$B282*'Distributor Payments'!M$21</f>
        <v>680.48801962628283</v>
      </c>
      <c r="P282" s="7">
        <f>$B282*'Distributor Payments'!N$21</f>
        <v>572.01885629434753</v>
      </c>
      <c r="Q282" s="7">
        <f>$B282*'Distributor Payments'!O$21</f>
        <v>572.01885629434753</v>
      </c>
      <c r="R282" s="7">
        <f>$B282*'Distributor Payments'!P$21</f>
        <v>572.01885629434753</v>
      </c>
      <c r="S282" s="7">
        <f>$B282*'Distributor Payments'!Q$21</f>
        <v>572.01885629434753</v>
      </c>
      <c r="T282" s="7">
        <f>$B282*'Distributor Payments'!R$21</f>
        <v>572.01885629434753</v>
      </c>
      <c r="U282" s="7">
        <f>$B282*'Distributor Payments'!S$21</f>
        <v>572.01885629434753</v>
      </c>
      <c r="V282" s="7">
        <f>$B282*'Distributor Payments'!T$21</f>
        <v>572.01885629434753</v>
      </c>
      <c r="W282" s="7">
        <f>$B282*'Distributor Payments'!U$21</f>
        <v>572.01885629434753</v>
      </c>
      <c r="X282" s="7">
        <f>B282*'Distributor Payments'!$V$21</f>
        <v>140.01594934417318</v>
      </c>
      <c r="Y282" s="7">
        <v>0</v>
      </c>
      <c r="Z282" s="7">
        <f t="shared" si="5"/>
        <v>9783.0265020303195</v>
      </c>
    </row>
    <row r="283" spans="1:26" s="27" customFormat="1" x14ac:dyDescent="0.35">
      <c r="A283" s="8" t="s">
        <v>270</v>
      </c>
      <c r="B283" s="24"/>
      <c r="C283" s="8" t="s">
        <v>270</v>
      </c>
      <c r="D283" s="8"/>
      <c r="E283" s="25">
        <f>'Distributor Payments'!C14</f>
        <v>13458021.720000001</v>
      </c>
      <c r="F283" s="25">
        <f>'Distributor Payments'!D14</f>
        <v>14170548.033114426</v>
      </c>
      <c r="G283" s="25">
        <f>'Distributor Payments'!E14</f>
        <v>14171131.333114425</v>
      </c>
      <c r="H283" s="25">
        <v>17737788.18</v>
      </c>
      <c r="I283" s="25">
        <f>'Distributor Payments'!G14</f>
        <v>7807244.3899999997</v>
      </c>
      <c r="J283" s="25">
        <f>'Distributor Payments'!H14</f>
        <v>17736189.833899543</v>
      </c>
      <c r="K283" s="25">
        <f>'Distributor Payments'!I14</f>
        <v>17736189.833729431</v>
      </c>
      <c r="L283" s="25">
        <f>'Distributor Payments'!J14</f>
        <v>6757488.3263180666</v>
      </c>
      <c r="M283" s="25">
        <f>'Distributor Payments'!K14</f>
        <v>20859896.137837995</v>
      </c>
      <c r="N283" s="25">
        <f>'Distributor Payments'!L14</f>
        <v>20859896.137837995</v>
      </c>
      <c r="O283" s="25">
        <f>'Distributor Payments'!M14</f>
        <v>20859896.137837995</v>
      </c>
      <c r="P283" s="25">
        <f>'Distributor Payments'!N14</f>
        <v>17534847.913616531</v>
      </c>
      <c r="Q283" s="25">
        <f>'Distributor Payments'!O14</f>
        <v>17534847.913616531</v>
      </c>
      <c r="R283" s="25">
        <f>'Distributor Payments'!P14</f>
        <v>17534847.913616531</v>
      </c>
      <c r="S283" s="25">
        <f>'Distributor Payments'!Q14</f>
        <v>17534847.913616531</v>
      </c>
      <c r="T283" s="25">
        <f>'Distributor Payments'!R14</f>
        <v>17534847.913616531</v>
      </c>
      <c r="U283" s="25">
        <f>'Distributor Payments'!S14</f>
        <v>17534847.913616531</v>
      </c>
      <c r="V283" s="25">
        <f>'Distributor Payments'!T14</f>
        <v>17534847.913616531</v>
      </c>
      <c r="W283" s="25">
        <f>'Distributor Payments'!U14</f>
        <v>17534847.913616531</v>
      </c>
      <c r="X283" s="25">
        <f>'Distributor Payments'!V14</f>
        <v>0</v>
      </c>
      <c r="Y283" s="25">
        <f>'Distributor Payments'!W$12</f>
        <v>0</v>
      </c>
      <c r="Z283" s="7">
        <f t="shared" si="5"/>
        <v>312433073.37262219</v>
      </c>
    </row>
    <row r="284" spans="1:26" x14ac:dyDescent="0.35">
      <c r="E284" s="26"/>
      <c r="F284" s="26"/>
      <c r="Z284" s="7"/>
    </row>
    <row r="285" spans="1:26" x14ac:dyDescent="0.35">
      <c r="B285" s="3" t="s">
        <v>340</v>
      </c>
    </row>
    <row r="286" spans="1:26" x14ac:dyDescent="0.35">
      <c r="B286" s="3" t="s">
        <v>341</v>
      </c>
    </row>
  </sheetData>
  <sheetProtection algorithmName="SHA-512" hashValue="bkxCxfWJ0WuR16KNPygPRys2Un7K87IEnOiHAXWtmLGEIK4sje/C9aG4lIkTJ7uacIj3M+Fk1ZreDt7jys4gYQ==" saltValue="VmOqm3v17cvE0Y3+O8w2bg==" spinCount="100000" sheet="1" sort="0" autoFilter="0" pivotTables="0"/>
  <autoFilter ref="A3:Z286" xr:uid="{A817AFE2-400E-4528-B798-D605BB194E27}"/>
  <mergeCells count="1">
    <mergeCell ref="A1:C1"/>
  </mergeCells>
  <phoneticPr fontId="1"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2660-6697-4A3E-8E21-95B86249B44C}">
  <dimension ref="A1:D6"/>
  <sheetViews>
    <sheetView workbookViewId="0">
      <selection activeCell="B20" sqref="B20"/>
    </sheetView>
  </sheetViews>
  <sheetFormatPr defaultRowHeight="14.4" x14ac:dyDescent="0.3"/>
  <cols>
    <col min="1" max="1" width="19.5546875" customWidth="1"/>
    <col min="2" max="2" width="68.33203125" customWidth="1"/>
    <col min="3" max="3" width="25.33203125" customWidth="1"/>
    <col min="4" max="4" width="24.109375" customWidth="1"/>
  </cols>
  <sheetData>
    <row r="1" spans="1:4" ht="22.8" x14ac:dyDescent="0.4">
      <c r="A1" s="57" t="s">
        <v>453</v>
      </c>
      <c r="B1" s="57"/>
      <c r="C1" s="5">
        <v>2024</v>
      </c>
      <c r="D1" s="5"/>
    </row>
    <row r="2" spans="1:4" ht="17.399999999999999" x14ac:dyDescent="0.3">
      <c r="A2" s="44"/>
      <c r="B2" s="11"/>
      <c r="C2" s="18" t="s">
        <v>308</v>
      </c>
      <c r="D2" s="11"/>
    </row>
    <row r="3" spans="1:4" ht="17.399999999999999" x14ac:dyDescent="0.3">
      <c r="A3" s="11" t="s">
        <v>3</v>
      </c>
      <c r="B3" s="11" t="s">
        <v>4</v>
      </c>
      <c r="C3" s="18" t="s">
        <v>311</v>
      </c>
      <c r="D3" s="15" t="s">
        <v>13</v>
      </c>
    </row>
    <row r="4" spans="1:4" ht="18" x14ac:dyDescent="0.35">
      <c r="A4" s="8"/>
      <c r="B4" s="3" t="s">
        <v>270</v>
      </c>
      <c r="C4" s="10">
        <v>11185538.93</v>
      </c>
      <c r="D4" s="7">
        <f t="shared" ref="D4" si="0">SUM(C4:C4)</f>
        <v>11185538.93</v>
      </c>
    </row>
    <row r="5" spans="1:4" ht="18" x14ac:dyDescent="0.35">
      <c r="A5" s="8"/>
      <c r="B5" s="3"/>
      <c r="C5" s="10"/>
      <c r="D5" s="7"/>
    </row>
    <row r="6" spans="1:4" ht="18" x14ac:dyDescent="0.35">
      <c r="A6" s="3"/>
      <c r="B6" s="3"/>
      <c r="C6" s="59" t="s">
        <v>13</v>
      </c>
      <c r="D6" s="7">
        <f>SUM(D4)</f>
        <v>11185538.93</v>
      </c>
    </row>
  </sheetData>
  <sheetProtection algorithmName="SHA-512" hashValue="gHiLTWeBNMDOA1hXzZvdOEaBoMV0YGb5/D67HH2Xenrc1Z4cm7mSMRZX+9SskkKIKX7VSawSX0/kQiqY451mog==" saltValue="aUJqH1V/Uj/ro6U/NaIfsQ==" spinCount="100000" sheet="1"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CCB26-121B-4314-95E3-1097F7AA2AE3}">
  <sheetPr codeName="Sheet4"/>
  <dimension ref="A1:S286"/>
  <sheetViews>
    <sheetView zoomScaleNormal="100" workbookViewId="0">
      <pane ySplit="3" topLeftCell="A4" activePane="bottomLeft" state="frozen"/>
      <selection activeCell="A12" sqref="A12:L22"/>
      <selection pane="bottomLeft" activeCell="O283" sqref="O283"/>
    </sheetView>
  </sheetViews>
  <sheetFormatPr defaultColWidth="9.109375" defaultRowHeight="18" x14ac:dyDescent="0.35"/>
  <cols>
    <col min="1" max="1" width="23.44140625" style="20" customWidth="1"/>
    <col min="2" max="2" width="31" style="20" customWidth="1"/>
    <col min="3" max="3" width="43.88671875" style="20" customWidth="1"/>
    <col min="4" max="4" width="25.44140625" style="20" customWidth="1"/>
    <col min="5" max="5" width="16.44140625" style="20" bestFit="1" customWidth="1"/>
    <col min="6" max="9" width="17.88671875" style="20" bestFit="1" customWidth="1"/>
    <col min="10" max="10" width="17.88671875" style="20" customWidth="1"/>
    <col min="11" max="14" width="16.44140625" style="20" bestFit="1" customWidth="1"/>
    <col min="15" max="15" width="17.44140625" style="20" bestFit="1" customWidth="1"/>
    <col min="16" max="16" width="16.44140625" style="20" bestFit="1" customWidth="1"/>
    <col min="17" max="17" width="26.33203125" style="20" customWidth="1"/>
    <col min="18" max="18" width="23" style="20" customWidth="1"/>
    <col min="19" max="19" width="18.5546875" style="20" customWidth="1"/>
    <col min="20" max="16384" width="9.109375" style="20"/>
  </cols>
  <sheetData>
    <row r="1" spans="1:19" s="21" customFormat="1" ht="25.8" x14ac:dyDescent="0.5">
      <c r="A1" s="111" t="s">
        <v>342</v>
      </c>
      <c r="B1" s="112"/>
      <c r="C1" s="112"/>
      <c r="D1" s="46"/>
      <c r="E1" s="5">
        <v>2023</v>
      </c>
      <c r="F1" s="5">
        <v>2023</v>
      </c>
      <c r="G1" s="5">
        <v>2023</v>
      </c>
      <c r="H1" s="5">
        <v>2023</v>
      </c>
      <c r="I1" s="5">
        <v>2023</v>
      </c>
      <c r="J1" s="5">
        <v>2024</v>
      </c>
      <c r="K1" s="5">
        <v>2026</v>
      </c>
      <c r="L1" s="5">
        <v>2027</v>
      </c>
      <c r="M1" s="5">
        <v>2028</v>
      </c>
      <c r="N1" s="5">
        <v>2029</v>
      </c>
      <c r="O1" s="5">
        <v>2030</v>
      </c>
      <c r="P1" s="5">
        <v>2031</v>
      </c>
      <c r="Q1" s="5">
        <v>2023</v>
      </c>
      <c r="R1" s="5">
        <v>2023</v>
      </c>
      <c r="S1" s="5"/>
    </row>
    <row r="2" spans="1:19" x14ac:dyDescent="0.35">
      <c r="A2" s="11"/>
      <c r="B2" s="11"/>
      <c r="C2" s="11"/>
      <c r="D2" s="11"/>
      <c r="E2" s="11" t="s">
        <v>308</v>
      </c>
      <c r="F2" s="11" t="s">
        <v>308</v>
      </c>
      <c r="G2" s="11" t="s">
        <v>308</v>
      </c>
      <c r="H2" s="11" t="s">
        <v>308</v>
      </c>
      <c r="I2" s="11" t="s">
        <v>308</v>
      </c>
      <c r="J2" s="11" t="s">
        <v>308</v>
      </c>
      <c r="K2" s="11" t="s">
        <v>309</v>
      </c>
      <c r="L2" s="11" t="s">
        <v>309</v>
      </c>
      <c r="M2" s="11" t="s">
        <v>309</v>
      </c>
      <c r="N2" s="11" t="s">
        <v>309</v>
      </c>
      <c r="O2" s="11" t="s">
        <v>309</v>
      </c>
      <c r="P2" s="11" t="s">
        <v>309</v>
      </c>
      <c r="Q2" s="11" t="s">
        <v>308</v>
      </c>
      <c r="R2" s="11" t="s">
        <v>308</v>
      </c>
      <c r="S2" s="3"/>
    </row>
    <row r="3" spans="1:19" ht="52.8" x14ac:dyDescent="0.35">
      <c r="A3" s="11" t="s">
        <v>3</v>
      </c>
      <c r="B3" s="11" t="s">
        <v>310</v>
      </c>
      <c r="C3" s="11" t="s">
        <v>4</v>
      </c>
      <c r="D3" s="32" t="s">
        <v>317</v>
      </c>
      <c r="E3" s="11" t="s">
        <v>311</v>
      </c>
      <c r="F3" s="11" t="s">
        <v>312</v>
      </c>
      <c r="G3" s="11" t="s">
        <v>313</v>
      </c>
      <c r="H3" s="11" t="s">
        <v>314</v>
      </c>
      <c r="I3" s="11" t="s">
        <v>315</v>
      </c>
      <c r="J3" s="11" t="s">
        <v>408</v>
      </c>
      <c r="K3" s="11" t="s">
        <v>321</v>
      </c>
      <c r="L3" s="11" t="s">
        <v>322</v>
      </c>
      <c r="M3" s="11" t="s">
        <v>323</v>
      </c>
      <c r="N3" s="11" t="s">
        <v>324</v>
      </c>
      <c r="O3" s="11" t="s">
        <v>325</v>
      </c>
      <c r="P3" s="11" t="s">
        <v>326</v>
      </c>
      <c r="Q3" s="17" t="s">
        <v>334</v>
      </c>
      <c r="R3" s="17" t="s">
        <v>335</v>
      </c>
      <c r="S3" s="3" t="s">
        <v>343</v>
      </c>
    </row>
    <row r="4" spans="1:19" customFormat="1" x14ac:dyDescent="0.35">
      <c r="A4" s="3" t="s">
        <v>14</v>
      </c>
      <c r="B4" s="6">
        <v>4.1016955278069181E-5</v>
      </c>
      <c r="C4" s="8" t="s">
        <v>15</v>
      </c>
      <c r="D4" s="33" t="s">
        <v>336</v>
      </c>
      <c r="E4" s="12">
        <v>138.19</v>
      </c>
      <c r="F4" s="12">
        <v>394.36</v>
      </c>
      <c r="G4" s="12">
        <v>304.86</v>
      </c>
      <c r="H4" s="12">
        <v>497.01</v>
      </c>
      <c r="I4" s="12">
        <v>556.74</v>
      </c>
      <c r="J4" s="12">
        <v>0</v>
      </c>
      <c r="K4" s="7">
        <f>$B4*'Janssen Payments'!I$22</f>
        <v>105.72844525010461</v>
      </c>
      <c r="L4" s="7">
        <f>$B4*'Janssen Payments'!J$22</f>
        <v>105.7284449995492</v>
      </c>
      <c r="M4" s="7">
        <f>$B4*'Janssen Payments'!K$22</f>
        <v>105.72844326792975</v>
      </c>
      <c r="N4" s="7">
        <f>$B4*'Janssen Payments'!L$22</f>
        <v>134.6108041901185</v>
      </c>
      <c r="O4" s="7">
        <f>$B4*'Janssen Payments'!M$22</f>
        <v>134.61080444067392</v>
      </c>
      <c r="P4" s="7">
        <f>$B4*'Janssen Payments'!N$22</f>
        <v>134.6108041901185</v>
      </c>
      <c r="Q4" s="7">
        <f>$B4*'Janssen Payments'!$O$22</f>
        <v>125.82660538595604</v>
      </c>
      <c r="R4" s="7">
        <v>0</v>
      </c>
      <c r="S4" s="7">
        <f t="shared" ref="S4:S67" si="0">SUM(E4:R4)</f>
        <v>2738.0043517244503</v>
      </c>
    </row>
    <row r="5" spans="1:19" customFormat="1" x14ac:dyDescent="0.35">
      <c r="A5" s="3" t="s">
        <v>16</v>
      </c>
      <c r="B5" s="6">
        <v>3.1833543189393153E-4</v>
      </c>
      <c r="C5" s="8" t="s">
        <v>17</v>
      </c>
      <c r="D5" s="33" t="s">
        <v>336</v>
      </c>
      <c r="E5" s="13">
        <v>1072.5</v>
      </c>
      <c r="F5" s="13">
        <v>3060.68</v>
      </c>
      <c r="G5" s="13">
        <v>2366.06</v>
      </c>
      <c r="H5" s="13">
        <v>3857.34</v>
      </c>
      <c r="I5" s="13">
        <v>4320.87</v>
      </c>
      <c r="J5" s="12">
        <v>0</v>
      </c>
      <c r="K5" s="7">
        <f>$B5*'Janssen Payments'!I$22</f>
        <v>820.56578929352236</v>
      </c>
      <c r="L5" s="7">
        <f>$B5*'Janssen Payments'!J$22</f>
        <v>820.56578734894447</v>
      </c>
      <c r="M5" s="7">
        <f>$B5*'Janssen Payments'!K$22</f>
        <v>820.56577390972598</v>
      </c>
      <c r="N5" s="7">
        <f>$B5*'Janssen Payments'!L$22</f>
        <v>1044.7237782264756</v>
      </c>
      <c r="O5" s="7">
        <f>$B5*'Janssen Payments'!M$22</f>
        <v>1044.7237801710537</v>
      </c>
      <c r="P5" s="7">
        <f>$B5*'Janssen Payments'!N$22</f>
        <v>1044.7237782264756</v>
      </c>
      <c r="Q5" s="7">
        <f>$B5*'Janssen Payments'!$O$22</f>
        <v>976.54900266822415</v>
      </c>
      <c r="R5" s="7">
        <v>0</v>
      </c>
      <c r="S5" s="7">
        <f t="shared" si="0"/>
        <v>21249.867689844421</v>
      </c>
    </row>
    <row r="6" spans="1:19" customFormat="1" x14ac:dyDescent="0.35">
      <c r="A6" s="3" t="s">
        <v>18</v>
      </c>
      <c r="B6" s="6">
        <v>9.346301204800001E-4</v>
      </c>
      <c r="C6" s="8" t="s">
        <v>18</v>
      </c>
      <c r="D6" s="33" t="s">
        <v>336</v>
      </c>
      <c r="E6" s="13">
        <v>3054.9</v>
      </c>
      <c r="F6" s="13">
        <v>8717.98</v>
      </c>
      <c r="G6" s="13">
        <v>6739.44</v>
      </c>
      <c r="H6" s="13">
        <v>10987.18</v>
      </c>
      <c r="I6" s="13">
        <v>12307.48</v>
      </c>
      <c r="J6" s="12">
        <v>0</v>
      </c>
      <c r="K6" s="7">
        <f>$B6*'Janssen Payments'!I$22</f>
        <v>2409.1741781502619</v>
      </c>
      <c r="L6" s="7">
        <f>$B6*'Janssen Payments'!J$22</f>
        <v>2409.1741724409976</v>
      </c>
      <c r="M6" s="7">
        <f>$B6*'Janssen Payments'!K$22</f>
        <v>2409.1741329835663</v>
      </c>
      <c r="N6" s="7">
        <f>$B6*'Janssen Payments'!L$22</f>
        <v>3067.3001271108133</v>
      </c>
      <c r="O6" s="7">
        <f>$B6*'Janssen Payments'!M$22</f>
        <v>3067.3001328200776</v>
      </c>
      <c r="P6" s="7">
        <f>$B6*'Janssen Payments'!N$22</f>
        <v>3067.3001271108133</v>
      </c>
      <c r="Q6" s="7">
        <f>$B6*'Janssen Payments'!$O$22</f>
        <v>2867.1395659234668</v>
      </c>
      <c r="R6" s="7">
        <v>0</v>
      </c>
      <c r="S6" s="7">
        <f t="shared" si="0"/>
        <v>61103.542436539996</v>
      </c>
    </row>
    <row r="7" spans="1:19" customFormat="1" x14ac:dyDescent="0.35">
      <c r="A7" s="3" t="s">
        <v>19</v>
      </c>
      <c r="B7" s="6">
        <v>8.795261608000001E-4</v>
      </c>
      <c r="C7" s="8" t="s">
        <v>19</v>
      </c>
      <c r="D7" s="33" t="s">
        <v>336</v>
      </c>
      <c r="E7" s="13">
        <v>2874.79</v>
      </c>
      <c r="F7" s="13">
        <v>8203.98</v>
      </c>
      <c r="G7" s="13">
        <v>6342.1</v>
      </c>
      <c r="H7" s="13">
        <v>10339.4</v>
      </c>
      <c r="I7" s="13">
        <v>11581.85</v>
      </c>
      <c r="J7" s="12">
        <v>0</v>
      </c>
      <c r="K7" s="7">
        <f>$B7*'Janssen Payments'!I$22</f>
        <v>2267.133991486141</v>
      </c>
      <c r="L7" s="7">
        <f>$B7*'Janssen Payments'!J$22</f>
        <v>2267.1339861134838</v>
      </c>
      <c r="M7" s="7">
        <f>$B7*'Janssen Payments'!K$22</f>
        <v>2267.1339489823854</v>
      </c>
      <c r="N7" s="7">
        <f>$B7*'Janssen Payments'!L$22</f>
        <v>2886.4581246682119</v>
      </c>
      <c r="O7" s="7">
        <f>$B7*'Janssen Payments'!M$22</f>
        <v>2886.458130040869</v>
      </c>
      <c r="P7" s="7">
        <f>$B7*'Janssen Payments'!N$22</f>
        <v>2886.4581246682119</v>
      </c>
      <c r="Q7" s="7">
        <f>$B7*'Janssen Payments'!$O$22</f>
        <v>2698.0986377791442</v>
      </c>
      <c r="R7" s="7">
        <v>0</v>
      </c>
      <c r="S7" s="7">
        <f t="shared" si="0"/>
        <v>57500.994943738449</v>
      </c>
    </row>
    <row r="8" spans="1:19" customFormat="1" x14ac:dyDescent="0.35">
      <c r="A8" s="3" t="s">
        <v>14</v>
      </c>
      <c r="B8" s="6">
        <v>1.6436044970336357E-5</v>
      </c>
      <c r="C8" s="8" t="s">
        <v>20</v>
      </c>
      <c r="D8" s="8" t="s">
        <v>337</v>
      </c>
      <c r="E8" s="12">
        <v>0</v>
      </c>
      <c r="F8" s="12">
        <v>0</v>
      </c>
      <c r="G8" s="12">
        <v>0</v>
      </c>
      <c r="H8" s="12">
        <v>0</v>
      </c>
      <c r="I8" s="12">
        <v>0</v>
      </c>
      <c r="J8" s="12">
        <v>0</v>
      </c>
      <c r="K8" s="12">
        <v>0</v>
      </c>
      <c r="L8" s="12">
        <v>0</v>
      </c>
      <c r="M8" s="12">
        <v>0</v>
      </c>
      <c r="N8" s="12">
        <v>0</v>
      </c>
      <c r="O8" s="12">
        <v>0</v>
      </c>
      <c r="P8" s="12">
        <v>0</v>
      </c>
      <c r="Q8" s="12">
        <v>0</v>
      </c>
      <c r="R8" s="7">
        <v>0</v>
      </c>
      <c r="S8" s="7">
        <f t="shared" si="0"/>
        <v>0</v>
      </c>
    </row>
    <row r="9" spans="1:19" customFormat="1" x14ac:dyDescent="0.35">
      <c r="A9" s="3" t="s">
        <v>21</v>
      </c>
      <c r="B9" s="6">
        <v>4.3271485276575759E-3</v>
      </c>
      <c r="C9" s="8" t="s">
        <v>21</v>
      </c>
      <c r="D9" s="33" t="s">
        <v>336</v>
      </c>
      <c r="E9" s="13">
        <v>14578.59</v>
      </c>
      <c r="F9" s="13">
        <v>41603.949999999997</v>
      </c>
      <c r="G9" s="13">
        <v>32161.99</v>
      </c>
      <c r="H9" s="13">
        <v>52433.05</v>
      </c>
      <c r="I9" s="13">
        <v>58733.78</v>
      </c>
      <c r="J9" s="12">
        <v>0</v>
      </c>
      <c r="K9" s="7">
        <f>$B9*'Janssen Payments'!I$22</f>
        <v>11153.989443973453</v>
      </c>
      <c r="L9" s="7">
        <f>$B9*'Janssen Payments'!J$22</f>
        <v>11153.989417540712</v>
      </c>
      <c r="M9" s="7">
        <f>$B9*'Janssen Payments'!K$22</f>
        <v>11153.989234860783</v>
      </c>
      <c r="N9" s="7">
        <f>$B9*'Janssen Payments'!L$22</f>
        <v>14200.979551242133</v>
      </c>
      <c r="O9" s="7">
        <f>$B9*'Janssen Payments'!M$22</f>
        <v>14200.979577674872</v>
      </c>
      <c r="P9" s="7">
        <f>$B9*'Janssen Payments'!N$22</f>
        <v>14200.979551242133</v>
      </c>
      <c r="Q9" s="7">
        <f>$B9*'Janssen Payments'!$O$22</f>
        <v>13274.276614264109</v>
      </c>
      <c r="R9" s="7">
        <v>0</v>
      </c>
      <c r="S9" s="7">
        <f t="shared" si="0"/>
        <v>288850.54339079827</v>
      </c>
    </row>
    <row r="10" spans="1:19" customFormat="1" x14ac:dyDescent="0.35">
      <c r="A10" s="3" t="s">
        <v>22</v>
      </c>
      <c r="B10" s="6">
        <v>6.0194286531118117E-4</v>
      </c>
      <c r="C10" s="8" t="s">
        <v>23</v>
      </c>
      <c r="D10" s="33" t="s">
        <v>336</v>
      </c>
      <c r="E10" s="13">
        <v>2028</v>
      </c>
      <c r="F10" s="13">
        <v>5787.46</v>
      </c>
      <c r="G10" s="13">
        <v>4474</v>
      </c>
      <c r="H10" s="13">
        <v>7293.88</v>
      </c>
      <c r="I10" s="13">
        <v>8170.36</v>
      </c>
      <c r="J10" s="12">
        <v>0</v>
      </c>
      <c r="K10" s="7">
        <f>$B10*'Janssen Payments'!I$22</f>
        <v>1551.6140300343668</v>
      </c>
      <c r="L10" s="7">
        <f>$B10*'Janssen Payments'!J$22</f>
        <v>1551.6140263573498</v>
      </c>
      <c r="M10" s="7">
        <f>$B10*'Janssen Payments'!K$22</f>
        <v>1551.6140009450303</v>
      </c>
      <c r="N10" s="7">
        <f>$B10*'Janssen Payments'!L$22</f>
        <v>1975.4760592716664</v>
      </c>
      <c r="O10" s="7">
        <f>$B10*'Janssen Payments'!M$22</f>
        <v>1975.4760629486834</v>
      </c>
      <c r="P10" s="7">
        <f>$B10*'Janssen Payments'!N$22</f>
        <v>1975.4760592716664</v>
      </c>
      <c r="Q10" s="7">
        <f>$B10*'Janssen Payments'!$O$22</f>
        <v>1846.5638627959872</v>
      </c>
      <c r="R10" s="7">
        <v>0</v>
      </c>
      <c r="S10" s="7">
        <f t="shared" si="0"/>
        <v>40181.534101624748</v>
      </c>
    </row>
    <row r="11" spans="1:19" customFormat="1" x14ac:dyDescent="0.35">
      <c r="A11" s="3" t="s">
        <v>24</v>
      </c>
      <c r="B11" s="6">
        <v>4.3561388299317821E-5</v>
      </c>
      <c r="C11" s="8" t="s">
        <v>25</v>
      </c>
      <c r="D11" s="33" t="s">
        <v>336</v>
      </c>
      <c r="E11" s="12">
        <v>146.76</v>
      </c>
      <c r="F11" s="12">
        <v>418.83</v>
      </c>
      <c r="G11" s="12">
        <v>323.77</v>
      </c>
      <c r="H11" s="12">
        <v>527.84</v>
      </c>
      <c r="I11" s="12">
        <v>591.27</v>
      </c>
      <c r="J11" s="12">
        <v>0</v>
      </c>
      <c r="K11" s="7">
        <f>$B11*'Janssen Payments'!I$22</f>
        <v>112.28717067367313</v>
      </c>
      <c r="L11" s="7">
        <f>$B11*'Janssen Payments'!J$22</f>
        <v>112.28717040757483</v>
      </c>
      <c r="M11" s="7">
        <f>$B11*'Janssen Payments'!K$22</f>
        <v>112.28716856853666</v>
      </c>
      <c r="N11" s="7">
        <f>$B11*'Janssen Payments'!L$22</f>
        <v>142.96120886731069</v>
      </c>
      <c r="O11" s="7">
        <f>$B11*'Janssen Payments'!M$22</f>
        <v>142.961209133409</v>
      </c>
      <c r="P11" s="7">
        <f>$B11*'Janssen Payments'!N$22</f>
        <v>142.96120886731069</v>
      </c>
      <c r="Q11" s="7">
        <f>$B11*'Janssen Payments'!$O$22</f>
        <v>133.63209381202725</v>
      </c>
      <c r="R11" s="7">
        <v>0</v>
      </c>
      <c r="S11" s="7">
        <f t="shared" si="0"/>
        <v>2907.8472303298418</v>
      </c>
    </row>
    <row r="12" spans="1:19" customFormat="1" x14ac:dyDescent="0.35">
      <c r="A12" s="3" t="s">
        <v>26</v>
      </c>
      <c r="B12" s="6">
        <v>3.5525680747200005E-3</v>
      </c>
      <c r="C12" s="8" t="s">
        <v>26</v>
      </c>
      <c r="D12" s="33" t="s">
        <v>336</v>
      </c>
      <c r="E12" s="13">
        <v>11611.79</v>
      </c>
      <c r="F12" s="13">
        <v>33137.39</v>
      </c>
      <c r="G12" s="13">
        <v>25616.9</v>
      </c>
      <c r="H12" s="13">
        <v>41762.730000000003</v>
      </c>
      <c r="I12" s="13">
        <v>46781.24</v>
      </c>
      <c r="J12" s="12">
        <v>0</v>
      </c>
      <c r="K12" s="7">
        <f>$B12*'Janssen Payments'!I$22</f>
        <v>9157.3715464475681</v>
      </c>
      <c r="L12" s="7">
        <f>$B12*'Janssen Payments'!J$22</f>
        <v>9157.371524746417</v>
      </c>
      <c r="M12" s="7">
        <f>$B12*'Janssen Payments'!K$22</f>
        <v>9157.3713747670754</v>
      </c>
      <c r="N12" s="7">
        <f>$B12*'Janssen Payments'!L$22</f>
        <v>11658.93573124113</v>
      </c>
      <c r="O12" s="7">
        <f>$B12*'Janssen Payments'!M$22</f>
        <v>11658.935752942281</v>
      </c>
      <c r="P12" s="7">
        <f>$B12*'Janssen Payments'!N$22</f>
        <v>11658.93573124113</v>
      </c>
      <c r="Q12" s="7">
        <f>$B12*'Janssen Payments'!$O$22</f>
        <v>10898.117088752899</v>
      </c>
      <c r="R12" s="7">
        <v>0</v>
      </c>
      <c r="S12" s="7">
        <f t="shared" si="0"/>
        <v>232257.08875013847</v>
      </c>
    </row>
    <row r="13" spans="1:19" customFormat="1" x14ac:dyDescent="0.35">
      <c r="A13" s="3" t="s">
        <v>14</v>
      </c>
      <c r="B13" s="6">
        <v>1.4241321015744592E-5</v>
      </c>
      <c r="C13" s="8" t="s">
        <v>27</v>
      </c>
      <c r="D13" s="33" t="s">
        <v>338</v>
      </c>
      <c r="E13" s="12">
        <f>47.98+351.8</f>
        <v>399.78000000000003</v>
      </c>
      <c r="F13" s="12">
        <v>136.93</v>
      </c>
      <c r="G13" s="12">
        <v>105.85</v>
      </c>
      <c r="H13" s="12">
        <v>172.57</v>
      </c>
      <c r="I13" s="12">
        <v>193.3</v>
      </c>
      <c r="J13" s="12">
        <v>0</v>
      </c>
      <c r="K13" s="51">
        <f>$B13*'Janssen Payments'!I$22</f>
        <v>36.709519736278089</v>
      </c>
      <c r="L13" s="51">
        <f>$B13*'Janssen Payments'!J$22</f>
        <v>36.70951964928382</v>
      </c>
      <c r="M13" s="51">
        <f>$B13*'Janssen Payments'!K$22</f>
        <v>36.709519048055661</v>
      </c>
      <c r="N13" s="51">
        <f>$B13*'Janssen Payments'!L$22</f>
        <v>46.737639633725067</v>
      </c>
      <c r="O13" s="51">
        <f>$B13*'Janssen Payments'!M$22</f>
        <v>46.737639720719336</v>
      </c>
      <c r="P13" s="51">
        <f>$B13*'Janssen Payments'!N$22</f>
        <v>46.737639633725067</v>
      </c>
      <c r="Q13" s="51">
        <f>$B13*'Janssen Payments'!O$22</f>
        <v>43.687715664768632</v>
      </c>
      <c r="R13" s="7">
        <v>0</v>
      </c>
      <c r="S13" s="7">
        <f>E13+F13+G13+H13+I13</f>
        <v>1008.4300000000001</v>
      </c>
    </row>
    <row r="14" spans="1:19" customFormat="1" x14ac:dyDescent="0.35">
      <c r="A14" s="3" t="s">
        <v>28</v>
      </c>
      <c r="B14" s="6">
        <v>2.5944529980925241E-3</v>
      </c>
      <c r="C14" s="8" t="s">
        <v>29</v>
      </c>
      <c r="D14" s="33" t="s">
        <v>336</v>
      </c>
      <c r="E14" s="13">
        <v>8740.9699999999993</v>
      </c>
      <c r="F14" s="13">
        <v>24944.720000000001</v>
      </c>
      <c r="G14" s="13">
        <v>19283.54</v>
      </c>
      <c r="H14" s="13">
        <v>31437.58</v>
      </c>
      <c r="I14" s="13">
        <v>35215.339999999997</v>
      </c>
      <c r="J14" s="12">
        <v>0</v>
      </c>
      <c r="K14" s="7">
        <f>$B14*'Janssen Payments'!I$22</f>
        <v>6687.6607467122531</v>
      </c>
      <c r="L14" s="7">
        <f>$B14*'Janssen Payments'!J$22</f>
        <v>6687.6607308638249</v>
      </c>
      <c r="M14" s="7">
        <f>$B14*'Janssen Payments'!K$22</f>
        <v>6687.6606213333826</v>
      </c>
      <c r="N14" s="7">
        <f>$B14*'Janssen Payments'!L$22</f>
        <v>8514.5618961490782</v>
      </c>
      <c r="O14" s="7">
        <f>$B14*'Janssen Payments'!M$22</f>
        <v>8514.5619119975054</v>
      </c>
      <c r="P14" s="7">
        <f>$B14*'Janssen Payments'!N$22</f>
        <v>8514.5618961490782</v>
      </c>
      <c r="Q14" s="7">
        <f>$B14*'Janssen Payments'!$O$22</f>
        <v>7958.9333574436359</v>
      </c>
      <c r="R14" s="7">
        <v>0</v>
      </c>
      <c r="S14" s="7">
        <f t="shared" si="0"/>
        <v>173187.75116064871</v>
      </c>
    </row>
    <row r="15" spans="1:19" customFormat="1" x14ac:dyDescent="0.35">
      <c r="A15" s="3" t="s">
        <v>30</v>
      </c>
      <c r="B15" s="6">
        <v>2.6667265464000002E-3</v>
      </c>
      <c r="C15" s="8" t="s">
        <v>30</v>
      </c>
      <c r="D15" s="33" t="s">
        <v>336</v>
      </c>
      <c r="E15" s="13">
        <v>8716.36</v>
      </c>
      <c r="F15" s="13">
        <v>24874.5</v>
      </c>
      <c r="G15" s="13">
        <v>19229.27</v>
      </c>
      <c r="H15" s="13">
        <v>31349.09</v>
      </c>
      <c r="I15" s="13">
        <v>35116.22</v>
      </c>
      <c r="J15" s="12">
        <v>0</v>
      </c>
      <c r="K15" s="7">
        <f>$B15*'Janssen Payments'!I$22</f>
        <v>6873.958579973013</v>
      </c>
      <c r="L15" s="7">
        <f>$B15*'Janssen Payments'!J$22</f>
        <v>6873.9585636830961</v>
      </c>
      <c r="M15" s="7">
        <f>$B15*'Janssen Payments'!K$22</f>
        <v>6873.9584511014691</v>
      </c>
      <c r="N15" s="7">
        <f>$B15*'Janssen Payments'!L$22</f>
        <v>8751.7516239918095</v>
      </c>
      <c r="O15" s="7">
        <f>$B15*'Janssen Payments'!M$22</f>
        <v>8751.7516402817255</v>
      </c>
      <c r="P15" s="7">
        <f>$B15*'Janssen Payments'!N$22</f>
        <v>8751.7516239918095</v>
      </c>
      <c r="Q15" s="7">
        <f>$B15*'Janssen Payments'!$O$22</f>
        <v>8180.6449686804153</v>
      </c>
      <c r="R15" s="7">
        <v>0</v>
      </c>
      <c r="S15" s="7">
        <f t="shared" si="0"/>
        <v>174343.21545170338</v>
      </c>
    </row>
    <row r="16" spans="1:19" customFormat="1" x14ac:dyDescent="0.35">
      <c r="A16" s="3" t="s">
        <v>31</v>
      </c>
      <c r="B16" s="6">
        <v>7.355534001327131E-6</v>
      </c>
      <c r="C16" s="8" t="s">
        <v>32</v>
      </c>
      <c r="D16" s="8" t="s">
        <v>337</v>
      </c>
      <c r="E16" s="12">
        <v>0</v>
      </c>
      <c r="F16" s="12">
        <v>0</v>
      </c>
      <c r="G16" s="12">
        <v>0</v>
      </c>
      <c r="H16" s="12">
        <v>0</v>
      </c>
      <c r="I16" s="12">
        <v>0</v>
      </c>
      <c r="J16" s="12">
        <v>0</v>
      </c>
      <c r="K16" s="12">
        <v>0</v>
      </c>
      <c r="L16" s="12">
        <v>0</v>
      </c>
      <c r="M16" s="12">
        <v>0</v>
      </c>
      <c r="N16" s="12">
        <v>0</v>
      </c>
      <c r="O16" s="12">
        <v>0</v>
      </c>
      <c r="P16" s="12">
        <v>0</v>
      </c>
      <c r="Q16" s="12">
        <v>0</v>
      </c>
      <c r="R16" s="7">
        <v>0</v>
      </c>
      <c r="S16" s="7">
        <f t="shared" si="0"/>
        <v>0</v>
      </c>
    </row>
    <row r="17" spans="1:19" customFormat="1" x14ac:dyDescent="0.35">
      <c r="A17" s="3" t="s">
        <v>33</v>
      </c>
      <c r="B17" s="6">
        <v>1.8055048905600002E-3</v>
      </c>
      <c r="C17" s="8" t="s">
        <v>33</v>
      </c>
      <c r="D17" s="33" t="s">
        <v>336</v>
      </c>
      <c r="E17" s="13">
        <v>5901.41</v>
      </c>
      <c r="F17" s="13">
        <v>16841.259999999998</v>
      </c>
      <c r="G17" s="13">
        <v>13019.16</v>
      </c>
      <c r="H17" s="13">
        <v>21224.87</v>
      </c>
      <c r="I17" s="13">
        <v>23775.41</v>
      </c>
      <c r="J17" s="12">
        <v>0</v>
      </c>
      <c r="K17" s="7">
        <f>$B17*'Janssen Payments'!I$22</f>
        <v>4654.007682340949</v>
      </c>
      <c r="L17" s="7">
        <f>$B17*'Janssen Payments'!J$22</f>
        <v>4654.0076713118751</v>
      </c>
      <c r="M17" s="7">
        <f>$B17*'Janssen Payments'!K$22</f>
        <v>4654.007595088583</v>
      </c>
      <c r="N17" s="7">
        <f>$B17*'Janssen Payments'!L$22</f>
        <v>5925.3658307841688</v>
      </c>
      <c r="O17" s="7">
        <f>$B17*'Janssen Payments'!M$22</f>
        <v>5925.3658418132427</v>
      </c>
      <c r="P17" s="7">
        <f>$B17*'Janssen Payments'!N$22</f>
        <v>5925.3658307841688</v>
      </c>
      <c r="Q17" s="7">
        <f>$B17*'Janssen Payments'!$O$22</f>
        <v>5538.6985661603967</v>
      </c>
      <c r="R17" s="7">
        <v>0</v>
      </c>
      <c r="S17" s="7">
        <f t="shared" si="0"/>
        <v>118038.92901828338</v>
      </c>
    </row>
    <row r="18" spans="1:19" customFormat="1" x14ac:dyDescent="0.35">
      <c r="A18" s="3" t="s">
        <v>34</v>
      </c>
      <c r="B18" s="6">
        <v>6.5916371099747253E-4</v>
      </c>
      <c r="C18" s="8" t="s">
        <v>35</v>
      </c>
      <c r="D18" s="33" t="s">
        <v>336</v>
      </c>
      <c r="E18" s="13">
        <v>2220.79</v>
      </c>
      <c r="F18" s="13">
        <v>6337.62</v>
      </c>
      <c r="G18" s="13">
        <v>4899.3</v>
      </c>
      <c r="H18" s="13">
        <v>7987.24</v>
      </c>
      <c r="I18" s="13">
        <v>8947.0400000000009</v>
      </c>
      <c r="J18" s="12">
        <v>0</v>
      </c>
      <c r="K18" s="7">
        <f>$B18*'Janssen Payments'!I$22</f>
        <v>1699.1108641921783</v>
      </c>
      <c r="L18" s="7">
        <f>$B18*'Janssen Payments'!J$22</f>
        <v>1699.1108601656231</v>
      </c>
      <c r="M18" s="7">
        <f>$B18*'Janssen Payments'!K$22</f>
        <v>1699.1108323376018</v>
      </c>
      <c r="N18" s="7">
        <f>$B18*'Janssen Payments'!L$22</f>
        <v>2163.2653284178509</v>
      </c>
      <c r="O18" s="7">
        <f>$B18*'Janssen Payments'!M$22</f>
        <v>2163.2653324444063</v>
      </c>
      <c r="P18" s="7">
        <f>$B18*'Janssen Payments'!N$22</f>
        <v>2163.2653284178509</v>
      </c>
      <c r="Q18" s="7">
        <f>$B18*'Janssen Payments'!$O$22</f>
        <v>2022.0987049413595</v>
      </c>
      <c r="R18" s="7">
        <v>0</v>
      </c>
      <c r="S18" s="7">
        <f t="shared" si="0"/>
        <v>44001.217250916867</v>
      </c>
    </row>
    <row r="19" spans="1:19" customFormat="1" x14ac:dyDescent="0.35">
      <c r="A19" s="3" t="s">
        <v>36</v>
      </c>
      <c r="B19" s="6">
        <v>6.1189832384893691E-5</v>
      </c>
      <c r="C19" s="8" t="s">
        <v>37</v>
      </c>
      <c r="D19" s="8" t="s">
        <v>337</v>
      </c>
      <c r="E19" s="12">
        <v>0</v>
      </c>
      <c r="F19" s="12">
        <v>0</v>
      </c>
      <c r="G19" s="12">
        <v>0</v>
      </c>
      <c r="H19" s="12">
        <v>0</v>
      </c>
      <c r="I19" s="12">
        <v>0</v>
      </c>
      <c r="J19" s="12">
        <v>0</v>
      </c>
      <c r="K19" s="12">
        <v>0</v>
      </c>
      <c r="L19" s="12">
        <v>0</v>
      </c>
      <c r="M19" s="12">
        <v>0</v>
      </c>
      <c r="N19" s="12">
        <v>0</v>
      </c>
      <c r="O19" s="12">
        <v>0</v>
      </c>
      <c r="P19" s="12">
        <v>0</v>
      </c>
      <c r="Q19" s="12">
        <v>0</v>
      </c>
      <c r="R19" s="7">
        <v>0</v>
      </c>
      <c r="S19" s="7">
        <f t="shared" si="0"/>
        <v>0</v>
      </c>
    </row>
    <row r="20" spans="1:19" customFormat="1" x14ac:dyDescent="0.35">
      <c r="A20" s="3" t="s">
        <v>38</v>
      </c>
      <c r="B20" s="6">
        <v>8.3004606496000003E-4</v>
      </c>
      <c r="C20" s="8" t="s">
        <v>38</v>
      </c>
      <c r="D20" s="33" t="s">
        <v>336</v>
      </c>
      <c r="E20" s="13">
        <v>2713.06</v>
      </c>
      <c r="F20" s="13">
        <v>7742.44</v>
      </c>
      <c r="G20" s="13">
        <v>5985.31</v>
      </c>
      <c r="H20" s="13">
        <v>9757.73</v>
      </c>
      <c r="I20" s="13">
        <v>10930.28</v>
      </c>
      <c r="J20" s="12">
        <v>0</v>
      </c>
      <c r="K20" s="7">
        <f>$B20*'Janssen Payments'!I$22</f>
        <v>2139.5903069653518</v>
      </c>
      <c r="L20" s="7">
        <f>$B20*'Janssen Payments'!J$22</f>
        <v>2139.5903018949475</v>
      </c>
      <c r="M20" s="7">
        <f>$B20*'Janssen Payments'!K$22</f>
        <v>2139.5902668527583</v>
      </c>
      <c r="N20" s="7">
        <f>$B20*'Janssen Payments'!L$22</f>
        <v>2724.0727050954483</v>
      </c>
      <c r="O20" s="7">
        <f>$B20*'Janssen Payments'!M$22</f>
        <v>2724.0727101658522</v>
      </c>
      <c r="P20" s="7">
        <f>$B20*'Janssen Payments'!N$22</f>
        <v>2724.0727050954483</v>
      </c>
      <c r="Q20" s="7">
        <f>$B20*'Janssen Payments'!$O$22</f>
        <v>2546.3098847741685</v>
      </c>
      <c r="R20" s="7">
        <v>0</v>
      </c>
      <c r="S20" s="7">
        <f t="shared" si="0"/>
        <v>54266.118880843969</v>
      </c>
    </row>
    <row r="21" spans="1:19" customFormat="1" x14ac:dyDescent="0.35">
      <c r="A21" s="3" t="s">
        <v>39</v>
      </c>
      <c r="B21" s="6">
        <v>2.4250001930187712E-3</v>
      </c>
      <c r="C21" s="8" t="s">
        <v>39</v>
      </c>
      <c r="D21" s="33" t="s">
        <v>336</v>
      </c>
      <c r="E21" s="13">
        <v>8170.06</v>
      </c>
      <c r="F21" s="13">
        <v>23315.49</v>
      </c>
      <c r="G21" s="13">
        <v>18024.07</v>
      </c>
      <c r="H21" s="13">
        <v>29384.28</v>
      </c>
      <c r="I21" s="13">
        <v>32915.31</v>
      </c>
      <c r="J21" s="12">
        <v>0</v>
      </c>
      <c r="K21" s="7">
        <f>$B21*'Janssen Payments'!I$22</f>
        <v>6250.8662186382444</v>
      </c>
      <c r="L21" s="7">
        <f>$B21*'Janssen Payments'!J$22</f>
        <v>6250.8662038249331</v>
      </c>
      <c r="M21" s="7">
        <f>$B21*'Janssen Payments'!K$22</f>
        <v>6250.8661014483068</v>
      </c>
      <c r="N21" s="7">
        <f>$B21*'Janssen Payments'!L$22</f>
        <v>7958.4460604267379</v>
      </c>
      <c r="O21" s="7">
        <f>$B21*'Janssen Payments'!M$22</f>
        <v>7958.4460752400491</v>
      </c>
      <c r="P21" s="7">
        <f>$B21*'Janssen Payments'!N$22</f>
        <v>7958.4460604267379</v>
      </c>
      <c r="Q21" s="7">
        <f>$B21*'Janssen Payments'!$O$22</f>
        <v>7439.1075661090299</v>
      </c>
      <c r="R21" s="7">
        <v>0</v>
      </c>
      <c r="S21" s="7">
        <f t="shared" si="0"/>
        <v>161876.25428611407</v>
      </c>
    </row>
    <row r="22" spans="1:19" customFormat="1" x14ac:dyDescent="0.35">
      <c r="A22" s="3" t="s">
        <v>40</v>
      </c>
      <c r="B22" s="6">
        <v>3.0130795312697611E-4</v>
      </c>
      <c r="C22" s="8" t="s">
        <v>41</v>
      </c>
      <c r="D22" s="33" t="s">
        <v>336</v>
      </c>
      <c r="E22" s="13">
        <v>1015.14</v>
      </c>
      <c r="F22" s="13">
        <v>2896.97</v>
      </c>
      <c r="G22" s="13">
        <v>2239.5</v>
      </c>
      <c r="H22" s="13">
        <v>3651.02</v>
      </c>
      <c r="I22" s="13">
        <v>4089.75</v>
      </c>
      <c r="J22" s="12">
        <v>0</v>
      </c>
      <c r="K22" s="7">
        <f>$B22*'Janssen Payments'!I$22</f>
        <v>776.6744559569903</v>
      </c>
      <c r="L22" s="7">
        <f>$B22*'Janssen Payments'!J$22</f>
        <v>776.67445411642609</v>
      </c>
      <c r="M22" s="7">
        <f>$B22*'Janssen Payments'!K$22</f>
        <v>776.67444139605936</v>
      </c>
      <c r="N22" s="7">
        <f>$B22*'Janssen Payments'!L$22</f>
        <v>988.84243367978388</v>
      </c>
      <c r="O22" s="7">
        <f>$B22*'Janssen Payments'!M$22</f>
        <v>988.84243552034809</v>
      </c>
      <c r="P22" s="7">
        <f>$B22*'Janssen Payments'!N$22</f>
        <v>988.84243367978388</v>
      </c>
      <c r="Q22" s="7">
        <f>$B22*'Janssen Payments'!$O$22</f>
        <v>924.3142661549316</v>
      </c>
      <c r="R22" s="7">
        <v>0</v>
      </c>
      <c r="S22" s="7">
        <f t="shared" si="0"/>
        <v>20113.244920504323</v>
      </c>
    </row>
    <row r="23" spans="1:19" customFormat="1" x14ac:dyDescent="0.35">
      <c r="A23" s="3" t="s">
        <v>42</v>
      </c>
      <c r="B23" s="6">
        <v>1.9175645879672782E-3</v>
      </c>
      <c r="C23" s="8" t="s">
        <v>43</v>
      </c>
      <c r="D23" s="33" t="s">
        <v>336</v>
      </c>
      <c r="E23" s="13">
        <v>6460.46</v>
      </c>
      <c r="F23" s="13">
        <v>18436.68</v>
      </c>
      <c r="G23" s="13">
        <v>14252.5</v>
      </c>
      <c r="H23" s="13">
        <v>23235.57</v>
      </c>
      <c r="I23" s="13">
        <v>26027.72</v>
      </c>
      <c r="J23" s="12">
        <v>0</v>
      </c>
      <c r="K23" s="7">
        <f>$B23*'Janssen Payments'!I$22</f>
        <v>4942.8613405841652</v>
      </c>
      <c r="L23" s="7">
        <f>$B23*'Janssen Payments'!J$22</f>
        <v>4942.8613288705656</v>
      </c>
      <c r="M23" s="7">
        <f>$B23*'Janssen Payments'!K$22</f>
        <v>4942.8612479164312</v>
      </c>
      <c r="N23" s="7">
        <f>$B23*'Janssen Payments'!L$22</f>
        <v>6293.1270622805587</v>
      </c>
      <c r="O23" s="7">
        <f>$B23*'Janssen Payments'!M$22</f>
        <v>6293.1270739941583</v>
      </c>
      <c r="P23" s="7">
        <f>$B23*'Janssen Payments'!N$22</f>
        <v>6293.1270622805587</v>
      </c>
      <c r="Q23" s="7">
        <f>$B23*'Janssen Payments'!$O$22</f>
        <v>5882.461071927718</v>
      </c>
      <c r="R23" s="7">
        <v>0</v>
      </c>
      <c r="S23" s="7">
        <f t="shared" si="0"/>
        <v>128003.35618785414</v>
      </c>
    </row>
    <row r="24" spans="1:19" customFormat="1" x14ac:dyDescent="0.35">
      <c r="A24" s="3" t="s">
        <v>36</v>
      </c>
      <c r="B24" s="6">
        <v>6.4286679499562843E-4</v>
      </c>
      <c r="C24" s="8" t="s">
        <v>44</v>
      </c>
      <c r="D24" s="33" t="s">
        <v>336</v>
      </c>
      <c r="E24" s="13">
        <v>2165.88</v>
      </c>
      <c r="F24" s="13">
        <v>6180.93</v>
      </c>
      <c r="G24" s="13">
        <v>4778.18</v>
      </c>
      <c r="H24" s="13">
        <v>7789.76</v>
      </c>
      <c r="I24" s="13">
        <v>8725.84</v>
      </c>
      <c r="J24" s="12">
        <v>0</v>
      </c>
      <c r="K24" s="7">
        <f>$B24*'Janssen Payments'!I$22</f>
        <v>1657.1026853898916</v>
      </c>
      <c r="L24" s="7">
        <f>$B24*'Janssen Payments'!J$22</f>
        <v>1657.1026814628874</v>
      </c>
      <c r="M24" s="7">
        <f>$B24*'Janssen Payments'!K$22</f>
        <v>1657.1026543228759</v>
      </c>
      <c r="N24" s="7">
        <f>$B24*'Janssen Payments'!L$22</f>
        <v>2109.7815689833719</v>
      </c>
      <c r="O24" s="7">
        <f>$B24*'Janssen Payments'!M$22</f>
        <v>2109.7815729103759</v>
      </c>
      <c r="P24" s="7">
        <f>$B24*'Janssen Payments'!N$22</f>
        <v>2109.7815689833719</v>
      </c>
      <c r="Q24" s="7">
        <f>$B24*'Janssen Payments'!$O$22</f>
        <v>1972.1050960820371</v>
      </c>
      <c r="R24" s="7">
        <v>0</v>
      </c>
      <c r="S24" s="7">
        <f t="shared" si="0"/>
        <v>42913.347828134807</v>
      </c>
    </row>
    <row r="25" spans="1:19" customFormat="1" x14ac:dyDescent="0.35">
      <c r="A25" s="3" t="s">
        <v>36</v>
      </c>
      <c r="B25" s="6">
        <v>1.1889744773040003E-2</v>
      </c>
      <c r="C25" s="8" t="s">
        <v>36</v>
      </c>
      <c r="D25" s="33" t="s">
        <v>336</v>
      </c>
      <c r="E25" s="13">
        <v>38862.379999999997</v>
      </c>
      <c r="F25" s="13">
        <v>110904.31</v>
      </c>
      <c r="G25" s="13">
        <v>85734.720000000001</v>
      </c>
      <c r="H25" s="13">
        <v>139771.60999999999</v>
      </c>
      <c r="I25" s="13">
        <v>156567.57</v>
      </c>
      <c r="J25" s="12">
        <v>0</v>
      </c>
      <c r="K25" s="7">
        <f>$B25*'Janssen Payments'!I$22</f>
        <v>30647.916715217802</v>
      </c>
      <c r="L25" s="7">
        <f>$B25*'Janssen Payments'!J$22</f>
        <v>30647.916642588323</v>
      </c>
      <c r="M25" s="7">
        <f>$B25*'Janssen Payments'!K$22</f>
        <v>30647.916140637044</v>
      </c>
      <c r="N25" s="7">
        <f>$B25*'Janssen Payments'!L$22</f>
        <v>39020.158728600625</v>
      </c>
      <c r="O25" s="7">
        <f>$B25*'Janssen Payments'!M$22</f>
        <v>39020.1588012301</v>
      </c>
      <c r="P25" s="7">
        <f>$B25*'Janssen Payments'!N$22</f>
        <v>39020.158728600625</v>
      </c>
      <c r="Q25" s="7">
        <f>$B25*'Janssen Payments'!$O$22</f>
        <v>36473.848767047304</v>
      </c>
      <c r="R25" s="7">
        <v>0</v>
      </c>
      <c r="S25" s="7">
        <f t="shared" si="0"/>
        <v>777318.66452392179</v>
      </c>
    </row>
    <row r="26" spans="1:19" customFormat="1" x14ac:dyDescent="0.35">
      <c r="A26" s="3" t="s">
        <v>45</v>
      </c>
      <c r="B26" s="6">
        <v>2.3108667263567752E-4</v>
      </c>
      <c r="C26" s="8" t="s">
        <v>46</v>
      </c>
      <c r="D26" s="33" t="s">
        <v>336</v>
      </c>
      <c r="E26" s="12">
        <v>778.55</v>
      </c>
      <c r="F26" s="13">
        <v>2221.81</v>
      </c>
      <c r="G26" s="13">
        <v>1717.58</v>
      </c>
      <c r="H26" s="13">
        <v>2800.13</v>
      </c>
      <c r="I26" s="13">
        <v>3136.61</v>
      </c>
      <c r="J26" s="12">
        <v>0</v>
      </c>
      <c r="K26" s="7">
        <f>$B26*'Janssen Payments'!I$22</f>
        <v>595.6667053942333</v>
      </c>
      <c r="L26" s="7">
        <f>$B26*'Janssen Payments'!J$22</f>
        <v>595.66670398262158</v>
      </c>
      <c r="M26" s="7">
        <f>$B26*'Janssen Payments'!K$22</f>
        <v>595.66669422679809</v>
      </c>
      <c r="N26" s="7">
        <f>$B26*'Janssen Payments'!L$22</f>
        <v>758.38790642120796</v>
      </c>
      <c r="O26" s="7">
        <f>$B26*'Janssen Payments'!M$22</f>
        <v>758.38790783281968</v>
      </c>
      <c r="P26" s="7">
        <f>$B26*'Janssen Payments'!N$22</f>
        <v>758.38790642120796</v>
      </c>
      <c r="Q26" s="7">
        <f>$B26*'Janssen Payments'!$O$22</f>
        <v>708.89834144344024</v>
      </c>
      <c r="R26" s="7">
        <v>0</v>
      </c>
      <c r="S26" s="7">
        <f t="shared" si="0"/>
        <v>15425.742165722329</v>
      </c>
    </row>
    <row r="27" spans="1:19" customFormat="1" x14ac:dyDescent="0.35">
      <c r="A27" s="3" t="s">
        <v>47</v>
      </c>
      <c r="B27" s="6">
        <v>5.0813180605809515E-4</v>
      </c>
      <c r="C27" s="8" t="s">
        <v>48</v>
      </c>
      <c r="D27" s="33" t="s">
        <v>336</v>
      </c>
      <c r="E27" s="13">
        <v>1711.95</v>
      </c>
      <c r="F27" s="13">
        <v>4885.5</v>
      </c>
      <c r="G27" s="13">
        <v>3776.74</v>
      </c>
      <c r="H27" s="13">
        <v>6157.15</v>
      </c>
      <c r="I27" s="13">
        <v>6897.04</v>
      </c>
      <c r="J27" s="12">
        <v>0</v>
      </c>
      <c r="K27" s="7">
        <f>$B27*'Janssen Payments'!I$22</f>
        <v>1309.7994590879607</v>
      </c>
      <c r="L27" s="7">
        <f>$B27*'Janssen Payments'!J$22</f>
        <v>1309.7994559839963</v>
      </c>
      <c r="M27" s="7">
        <f>$B27*'Janssen Payments'!K$22</f>
        <v>1309.7994345321133</v>
      </c>
      <c r="N27" s="7">
        <f>$B27*'Janssen Payments'!L$22</f>
        <v>1667.6038136996831</v>
      </c>
      <c r="O27" s="7">
        <f>$B27*'Janssen Payments'!M$22</f>
        <v>1667.6038168036478</v>
      </c>
      <c r="P27" s="7">
        <f>$B27*'Janssen Payments'!N$22</f>
        <v>1667.6038136996831</v>
      </c>
      <c r="Q27" s="7">
        <f>$B27*'Janssen Payments'!$O$22</f>
        <v>1558.7822111971939</v>
      </c>
      <c r="R27" s="7">
        <v>0</v>
      </c>
      <c r="S27" s="7">
        <f t="shared" si="0"/>
        <v>33919.372005004276</v>
      </c>
    </row>
    <row r="28" spans="1:19" customFormat="1" x14ac:dyDescent="0.35">
      <c r="A28" s="3" t="s">
        <v>49</v>
      </c>
      <c r="B28" s="6">
        <v>1.5597090017600002E-3</v>
      </c>
      <c r="C28" s="8" t="s">
        <v>49</v>
      </c>
      <c r="D28" s="33" t="s">
        <v>336</v>
      </c>
      <c r="E28" s="13">
        <v>5098.01</v>
      </c>
      <c r="F28" s="13">
        <v>14548.54</v>
      </c>
      <c r="G28" s="13">
        <v>11246.77</v>
      </c>
      <c r="H28" s="13">
        <v>18335.38</v>
      </c>
      <c r="I28" s="13">
        <v>20538.7</v>
      </c>
      <c r="J28" s="12">
        <v>0</v>
      </c>
      <c r="K28" s="7">
        <f>$B28*'Janssen Payments'!I$22</f>
        <v>4020.4253748412361</v>
      </c>
      <c r="L28" s="7">
        <f>$B28*'Janssen Payments'!J$22</f>
        <v>4020.4253653136266</v>
      </c>
      <c r="M28" s="7">
        <f>$B28*'Janssen Payments'!K$22</f>
        <v>4020.4252994671388</v>
      </c>
      <c r="N28" s="7">
        <f>$B28*'Janssen Payments'!L$22</f>
        <v>5118.7047309125346</v>
      </c>
      <c r="O28" s="7">
        <f>$B28*'Janssen Payments'!M$22</f>
        <v>5118.7047404401437</v>
      </c>
      <c r="P28" s="7">
        <f>$B28*'Janssen Payments'!N$22</f>
        <v>5118.7047309125346</v>
      </c>
      <c r="Q28" s="7">
        <f>$B28*'Janssen Payments'!$O$22</f>
        <v>4784.6771597479074</v>
      </c>
      <c r="R28" s="7">
        <v>0</v>
      </c>
      <c r="S28" s="7">
        <f t="shared" si="0"/>
        <v>101969.46740163512</v>
      </c>
    </row>
    <row r="29" spans="1:19" customFormat="1" x14ac:dyDescent="0.35">
      <c r="A29" s="3" t="s">
        <v>34</v>
      </c>
      <c r="B29" s="6">
        <v>2.0103739911221842E-4</v>
      </c>
      <c r="C29" s="8" t="s">
        <v>50</v>
      </c>
      <c r="D29" s="33" t="s">
        <v>336</v>
      </c>
      <c r="E29" s="12">
        <v>677.31</v>
      </c>
      <c r="F29" s="13">
        <v>1932.9</v>
      </c>
      <c r="G29" s="13">
        <v>1494.23</v>
      </c>
      <c r="H29" s="13">
        <v>2436.02</v>
      </c>
      <c r="I29" s="13">
        <v>2728.75</v>
      </c>
      <c r="J29" s="12">
        <v>0</v>
      </c>
      <c r="K29" s="7">
        <f>$B29*'Janssen Payments'!I$22</f>
        <v>518.20939660590489</v>
      </c>
      <c r="L29" s="7">
        <f>$B29*'Janssen Payments'!J$22</f>
        <v>518.20939537785148</v>
      </c>
      <c r="M29" s="7">
        <f>$B29*'Janssen Payments'!K$22</f>
        <v>518.20938689062314</v>
      </c>
      <c r="N29" s="7">
        <f>$B29*'Janssen Payments'!L$22</f>
        <v>659.77120396488465</v>
      </c>
      <c r="O29" s="7">
        <f>$B29*'Janssen Payments'!M$22</f>
        <v>659.77120519293806</v>
      </c>
      <c r="P29" s="7">
        <f>$B29*'Janssen Payments'!N$22</f>
        <v>659.77120396488465</v>
      </c>
      <c r="Q29" s="7">
        <f>$B29*'Janssen Payments'!$O$22</f>
        <v>616.71699701799093</v>
      </c>
      <c r="R29" s="7">
        <v>0</v>
      </c>
      <c r="S29" s="7">
        <f t="shared" si="0"/>
        <v>13419.86878901508</v>
      </c>
    </row>
    <row r="30" spans="1:19" customFormat="1" x14ac:dyDescent="0.35">
      <c r="A30" s="3" t="s">
        <v>47</v>
      </c>
      <c r="B30" s="6">
        <v>1.4353012866080001E-2</v>
      </c>
      <c r="C30" s="8" t="s">
        <v>47</v>
      </c>
      <c r="D30" s="33" t="s">
        <v>336</v>
      </c>
      <c r="E30" s="13">
        <v>46913.72</v>
      </c>
      <c r="F30" s="13">
        <v>133881.01</v>
      </c>
      <c r="G30" s="13">
        <v>103496.89</v>
      </c>
      <c r="H30" s="13">
        <v>168728.92</v>
      </c>
      <c r="I30" s="13">
        <v>189004.59</v>
      </c>
      <c r="J30" s="12">
        <v>0</v>
      </c>
      <c r="K30" s="7">
        <f>$B30*'Janssen Payments'!I$22</f>
        <v>36997.425203736915</v>
      </c>
      <c r="L30" s="7">
        <f>$B30*'Janssen Payments'!J$22</f>
        <v>36997.425116060367</v>
      </c>
      <c r="M30" s="7">
        <f>$B30*'Janssen Payments'!K$22</f>
        <v>36997.424510116893</v>
      </c>
      <c r="N30" s="7">
        <f>$B30*'Janssen Payments'!L$22</f>
        <v>47104.193652501068</v>
      </c>
      <c r="O30" s="7">
        <f>$B30*'Janssen Payments'!M$22</f>
        <v>47104.193740177616</v>
      </c>
      <c r="P30" s="7">
        <f>$B30*'Janssen Payments'!N$22</f>
        <v>47104.193652501068</v>
      </c>
      <c r="Q30" s="7">
        <f>$B30*'Janssen Payments'!$O$22</f>
        <v>44030.349736013195</v>
      </c>
      <c r="R30" s="7">
        <v>0</v>
      </c>
      <c r="S30" s="7">
        <f t="shared" si="0"/>
        <v>938360.33561110729</v>
      </c>
    </row>
    <row r="31" spans="1:19" customFormat="1" x14ac:dyDescent="0.35">
      <c r="A31" s="3" t="s">
        <v>34</v>
      </c>
      <c r="B31" s="6">
        <v>2.5766033642236696E-4</v>
      </c>
      <c r="C31" s="8" t="s">
        <v>51</v>
      </c>
      <c r="D31" s="33" t="s">
        <v>336</v>
      </c>
      <c r="E31" s="12">
        <v>868.08</v>
      </c>
      <c r="F31" s="13">
        <v>2477.31</v>
      </c>
      <c r="G31" s="13">
        <v>1915.09</v>
      </c>
      <c r="H31" s="13">
        <v>3122.13</v>
      </c>
      <c r="I31" s="13">
        <v>3497.31</v>
      </c>
      <c r="J31" s="12">
        <v>0</v>
      </c>
      <c r="K31" s="7">
        <f>$B31*'Janssen Payments'!I$22</f>
        <v>664.16501634194788</v>
      </c>
      <c r="L31" s="7">
        <f>$B31*'Janssen Payments'!J$22</f>
        <v>664.16501476800863</v>
      </c>
      <c r="M31" s="7">
        <f>$B31*'Janssen Payments'!K$22</f>
        <v>664.16500389032046</v>
      </c>
      <c r="N31" s="7">
        <f>$B31*'Janssen Payments'!L$22</f>
        <v>845.59823757215736</v>
      </c>
      <c r="O31" s="7">
        <f>$B31*'Janssen Payments'!M$22</f>
        <v>845.59823914609649</v>
      </c>
      <c r="P31" s="7">
        <f>$B31*'Janssen Payments'!N$22</f>
        <v>845.59823757215736</v>
      </c>
      <c r="Q31" s="7">
        <f>$B31*'Janssen Payments'!$O$22</f>
        <v>790.41765179397294</v>
      </c>
      <c r="R31" s="7">
        <v>0</v>
      </c>
      <c r="S31" s="7">
        <f t="shared" si="0"/>
        <v>17199.627401084661</v>
      </c>
    </row>
    <row r="32" spans="1:19" customFormat="1" x14ac:dyDescent="0.35">
      <c r="A32" s="3" t="s">
        <v>52</v>
      </c>
      <c r="B32" s="6">
        <v>1.3726383424055298E-4</v>
      </c>
      <c r="C32" s="8" t="s">
        <v>53</v>
      </c>
      <c r="D32" s="33" t="s">
        <v>336</v>
      </c>
      <c r="E32" s="12">
        <v>462.46</v>
      </c>
      <c r="F32" s="13">
        <v>1319.74</v>
      </c>
      <c r="G32" s="13">
        <v>1020.23</v>
      </c>
      <c r="H32" s="13">
        <v>1663.26</v>
      </c>
      <c r="I32" s="13">
        <v>1863.13</v>
      </c>
      <c r="J32" s="12">
        <v>0</v>
      </c>
      <c r="K32" s="7">
        <f>$B32*'Janssen Payments'!I$22</f>
        <v>353.82177162919118</v>
      </c>
      <c r="L32" s="7">
        <f>$B32*'Janssen Payments'!J$22</f>
        <v>353.82177079070385</v>
      </c>
      <c r="M32" s="7">
        <f>$B32*'Janssen Payments'!K$22</f>
        <v>353.82176499581431</v>
      </c>
      <c r="N32" s="7">
        <f>$B32*'Janssen Payments'!L$22</f>
        <v>450.47700367021855</v>
      </c>
      <c r="O32" s="7">
        <f>$B32*'Janssen Payments'!M$22</f>
        <v>450.47700450870587</v>
      </c>
      <c r="P32" s="7">
        <f>$B32*'Janssen Payments'!N$22</f>
        <v>450.47700367021855</v>
      </c>
      <c r="Q32" s="7">
        <f>$B32*'Janssen Payments'!$O$22</f>
        <v>421.08055528889986</v>
      </c>
      <c r="R32" s="7">
        <v>0</v>
      </c>
      <c r="S32" s="7">
        <f t="shared" si="0"/>
        <v>9162.7968745537528</v>
      </c>
    </row>
    <row r="33" spans="1:19" customFormat="1" x14ac:dyDescent="0.35">
      <c r="A33" s="3" t="s">
        <v>34</v>
      </c>
      <c r="B33" s="6">
        <v>5.7745005969259827E-4</v>
      </c>
      <c r="C33" s="8" t="s">
        <v>54</v>
      </c>
      <c r="D33" s="33" t="s">
        <v>336</v>
      </c>
      <c r="E33" s="13">
        <v>1945.49</v>
      </c>
      <c r="F33" s="13">
        <v>5551.97</v>
      </c>
      <c r="G33" s="13">
        <v>4291.96</v>
      </c>
      <c r="H33" s="13">
        <v>6997.09</v>
      </c>
      <c r="I33" s="13">
        <v>7837.92</v>
      </c>
      <c r="J33" s="12">
        <v>0</v>
      </c>
      <c r="K33" s="7">
        <f>$B33*'Janssen Payments'!I$22</f>
        <v>1488.4794984654088</v>
      </c>
      <c r="L33" s="7">
        <f>$B33*'Janssen Payments'!J$22</f>
        <v>1488.479494938008</v>
      </c>
      <c r="M33" s="7">
        <f>$B33*'Janssen Payments'!K$22</f>
        <v>1488.4794705597053</v>
      </c>
      <c r="N33" s="7">
        <f>$B33*'Janssen Payments'!L$22</f>
        <v>1895.0947574700544</v>
      </c>
      <c r="O33" s="7">
        <f>$B33*'Janssen Payments'!M$22</f>
        <v>1895.0947609974553</v>
      </c>
      <c r="P33" s="7">
        <f>$B33*'Janssen Payments'!N$22</f>
        <v>1895.0947574700544</v>
      </c>
      <c r="Q33" s="7">
        <f>$B33*'Janssen Payments'!$O$22</f>
        <v>1771.427944820814</v>
      </c>
      <c r="R33" s="7">
        <v>0</v>
      </c>
      <c r="S33" s="7">
        <f t="shared" si="0"/>
        <v>38546.580684721492</v>
      </c>
    </row>
    <row r="34" spans="1:19" customFormat="1" x14ac:dyDescent="0.35">
      <c r="A34" s="3" t="s">
        <v>55</v>
      </c>
      <c r="B34" s="6">
        <v>0</v>
      </c>
      <c r="C34" s="8" t="s">
        <v>56</v>
      </c>
      <c r="D34" s="8" t="s">
        <v>337</v>
      </c>
      <c r="E34" s="12">
        <v>0</v>
      </c>
      <c r="F34" s="12">
        <v>0</v>
      </c>
      <c r="G34" s="12">
        <v>0</v>
      </c>
      <c r="H34" s="12">
        <v>0</v>
      </c>
      <c r="I34" s="12">
        <v>0</v>
      </c>
      <c r="J34" s="12">
        <v>0</v>
      </c>
      <c r="K34" s="7">
        <f>$B34*'Janssen Payments'!I$22</f>
        <v>0</v>
      </c>
      <c r="L34" s="7">
        <f>$B34*'Janssen Payments'!J$22</f>
        <v>0</v>
      </c>
      <c r="M34" s="7">
        <f>$B34*'Janssen Payments'!K$22</f>
        <v>0</v>
      </c>
      <c r="N34" s="7">
        <f>$B34*'Janssen Payments'!L$22</f>
        <v>0</v>
      </c>
      <c r="O34" s="7">
        <f>$B34*'Janssen Payments'!M$22</f>
        <v>0</v>
      </c>
      <c r="P34" s="7">
        <f>$B34*'Janssen Payments'!N$22</f>
        <v>0</v>
      </c>
      <c r="Q34" s="7">
        <f>$B34*'Janssen Payments'!$O$22</f>
        <v>0</v>
      </c>
      <c r="R34" s="7">
        <v>0</v>
      </c>
      <c r="S34" s="7">
        <f t="shared" si="0"/>
        <v>0</v>
      </c>
    </row>
    <row r="35" spans="1:19" customFormat="1" x14ac:dyDescent="0.35">
      <c r="A35" s="3" t="s">
        <v>34</v>
      </c>
      <c r="B35" s="6">
        <v>1.341703863361423E-3</v>
      </c>
      <c r="C35" s="8" t="s">
        <v>57</v>
      </c>
      <c r="D35" s="33" t="s">
        <v>336</v>
      </c>
      <c r="E35" s="13">
        <v>4520.33</v>
      </c>
      <c r="F35" s="13">
        <v>12899.99</v>
      </c>
      <c r="G35" s="13">
        <v>9972.36</v>
      </c>
      <c r="H35" s="13">
        <v>16257.73</v>
      </c>
      <c r="I35" s="13">
        <v>18211.38</v>
      </c>
      <c r="J35" s="12">
        <v>0</v>
      </c>
      <c r="K35" s="7">
        <f>$B35*'Janssen Payments'!I$22</f>
        <v>3458.4786339591942</v>
      </c>
      <c r="L35" s="7">
        <f>$B35*'Janssen Payments'!J$22</f>
        <v>3458.4786257632868</v>
      </c>
      <c r="M35" s="7">
        <f>$B35*'Janssen Payments'!K$22</f>
        <v>3458.4785691203574</v>
      </c>
      <c r="N35" s="7">
        <f>$B35*'Janssen Payments'!L$22</f>
        <v>4403.2482374096853</v>
      </c>
      <c r="O35" s="7">
        <f>$B35*'Janssen Payments'!M$22</f>
        <v>4403.2482456055932</v>
      </c>
      <c r="P35" s="7">
        <f>$B35*'Janssen Payments'!N$22</f>
        <v>4403.2482374096853</v>
      </c>
      <c r="Q35" s="7">
        <f>$B35*'Janssen Payments'!$O$22</f>
        <v>4115.9086874070272</v>
      </c>
      <c r="R35" s="7">
        <v>0</v>
      </c>
      <c r="S35" s="7">
        <f t="shared" si="0"/>
        <v>89562.879236674838</v>
      </c>
    </row>
    <row r="36" spans="1:19" customFormat="1" x14ac:dyDescent="0.35">
      <c r="A36" s="3" t="s">
        <v>58</v>
      </c>
      <c r="B36" s="6">
        <v>3.8230209662400007E-3</v>
      </c>
      <c r="C36" s="8" t="s">
        <v>58</v>
      </c>
      <c r="D36" s="33" t="s">
        <v>336</v>
      </c>
      <c r="E36" s="13">
        <v>12495.78</v>
      </c>
      <c r="F36" s="13">
        <v>35660.1</v>
      </c>
      <c r="G36" s="13">
        <v>27567.09</v>
      </c>
      <c r="H36" s="13">
        <v>44942.080000000002</v>
      </c>
      <c r="I36" s="13">
        <v>50342.64</v>
      </c>
      <c r="J36" s="12">
        <v>0</v>
      </c>
      <c r="K36" s="7">
        <f>$B36*'Janssen Payments'!I$22</f>
        <v>9854.5116325400559</v>
      </c>
      <c r="L36" s="7">
        <f>$B36*'Janssen Payments'!J$22</f>
        <v>9854.5116091868204</v>
      </c>
      <c r="M36" s="7">
        <f>$B36*'Janssen Payments'!K$22</f>
        <v>9854.5114477897241</v>
      </c>
      <c r="N36" s="7">
        <f>$B36*'Janssen Payments'!L$22</f>
        <v>12546.51700040753</v>
      </c>
      <c r="O36" s="7">
        <f>$B36*'Janssen Payments'!M$22</f>
        <v>12546.517023760765</v>
      </c>
      <c r="P36" s="7">
        <f>$B36*'Janssen Payments'!N$22</f>
        <v>12546.51700040753</v>
      </c>
      <c r="Q36" s="7">
        <f>$B36*'Janssen Payments'!$O$22</f>
        <v>11727.778116151803</v>
      </c>
      <c r="R36" s="7">
        <v>0</v>
      </c>
      <c r="S36" s="7">
        <f t="shared" si="0"/>
        <v>249938.55383024426</v>
      </c>
    </row>
    <row r="37" spans="1:19" customFormat="1" x14ac:dyDescent="0.35">
      <c r="A37" s="3" t="s">
        <v>34</v>
      </c>
      <c r="B37" s="6">
        <v>1.6716753278031742E-4</v>
      </c>
      <c r="C37" s="8" t="s">
        <v>59</v>
      </c>
      <c r="D37" s="33" t="s">
        <v>336</v>
      </c>
      <c r="E37" s="12">
        <v>563.20000000000005</v>
      </c>
      <c r="F37" s="13">
        <v>1607.25</v>
      </c>
      <c r="G37" s="13">
        <v>1242.49</v>
      </c>
      <c r="H37" s="13">
        <v>2025.61</v>
      </c>
      <c r="I37" s="13">
        <v>2269.02</v>
      </c>
      <c r="J37" s="12">
        <v>0</v>
      </c>
      <c r="K37" s="7">
        <f>$B37*'Janssen Payments'!I$22</f>
        <v>430.90383519053967</v>
      </c>
      <c r="L37" s="7">
        <f>$B37*'Janssen Payments'!J$22</f>
        <v>430.90383416938317</v>
      </c>
      <c r="M37" s="7">
        <f>$B37*'Janssen Payments'!K$22</f>
        <v>430.90382711204438</v>
      </c>
      <c r="N37" s="7">
        <f>$B37*'Janssen Payments'!L$22</f>
        <v>548.61595331694741</v>
      </c>
      <c r="O37" s="7">
        <f>$B37*'Janssen Payments'!M$22</f>
        <v>548.61595433810396</v>
      </c>
      <c r="P37" s="7">
        <f>$B37*'Janssen Payments'!N$22</f>
        <v>548.61595331694741</v>
      </c>
      <c r="Q37" s="7">
        <f>$B37*'Janssen Payments'!$O$22</f>
        <v>512.81532327045568</v>
      </c>
      <c r="R37" s="7">
        <v>0</v>
      </c>
      <c r="S37" s="7">
        <f t="shared" si="0"/>
        <v>11158.94468071442</v>
      </c>
    </row>
    <row r="38" spans="1:19" customFormat="1" x14ac:dyDescent="0.35">
      <c r="A38" s="3" t="s">
        <v>60</v>
      </c>
      <c r="B38" s="6">
        <v>5.6701068570441956E-6</v>
      </c>
      <c r="C38" s="8" t="s">
        <v>61</v>
      </c>
      <c r="D38" s="33" t="s">
        <v>338</v>
      </c>
      <c r="E38" s="12">
        <f>19.1+140.07</f>
        <v>159.16999999999999</v>
      </c>
      <c r="F38" s="12">
        <v>54.52</v>
      </c>
      <c r="G38" s="12">
        <v>42.14</v>
      </c>
      <c r="H38" s="12">
        <v>68.709999999999994</v>
      </c>
      <c r="I38" s="12">
        <v>76.959999999999994</v>
      </c>
      <c r="J38" s="12">
        <v>0</v>
      </c>
      <c r="K38" s="51">
        <f>$B38*'Janssen Payments'!I$22</f>
        <v>14.615701685633754</v>
      </c>
      <c r="L38" s="51">
        <f>$B38*'Janssen Payments'!J$22</f>
        <v>14.615701650997442</v>
      </c>
      <c r="M38" s="51">
        <f>$B38*'Janssen Payments'!K$22</f>
        <v>14.615701411621624</v>
      </c>
      <c r="N38" s="51">
        <f>$B38*'Janssen Payments'!L$22</f>
        <v>18.60834473685863</v>
      </c>
      <c r="O38" s="51">
        <f>$B38*'Janssen Payments'!M$22</f>
        <v>18.608344771494938</v>
      </c>
      <c r="P38" s="51">
        <f>$B38*'Janssen Payments'!N$22</f>
        <v>18.60834473685863</v>
      </c>
      <c r="Q38" s="51">
        <f>$B38*'Janssen Payments'!$O$22</f>
        <v>17.394033593199662</v>
      </c>
      <c r="R38" s="7">
        <v>0</v>
      </c>
      <c r="S38" s="7">
        <f>E38+F38+G38+H38+I38</f>
        <v>401.49999999999994</v>
      </c>
    </row>
    <row r="39" spans="1:19" customFormat="1" x14ac:dyDescent="0.35">
      <c r="A39" s="3" t="s">
        <v>22</v>
      </c>
      <c r="B39" s="6">
        <v>5.7982115825048618E-4</v>
      </c>
      <c r="C39" s="8" t="s">
        <v>62</v>
      </c>
      <c r="D39" s="33" t="s">
        <v>336</v>
      </c>
      <c r="E39" s="13">
        <v>1953.47</v>
      </c>
      <c r="F39" s="13">
        <v>5574.77</v>
      </c>
      <c r="G39" s="13">
        <v>4309.58</v>
      </c>
      <c r="H39" s="13">
        <v>7025.83</v>
      </c>
      <c r="I39" s="13">
        <v>7870.1</v>
      </c>
      <c r="J39" s="12">
        <v>0</v>
      </c>
      <c r="K39" s="7">
        <f>$B39*'Janssen Payments'!I$22</f>
        <v>1494.5914237012221</v>
      </c>
      <c r="L39" s="7">
        <f>$B39*'Janssen Payments'!J$22</f>
        <v>1494.5914201593373</v>
      </c>
      <c r="M39" s="7">
        <f>$B39*'Janssen Payments'!K$22</f>
        <v>1494.5913956809334</v>
      </c>
      <c r="N39" s="7">
        <f>$B39*'Janssen Payments'!L$22</f>
        <v>1902.8763073566199</v>
      </c>
      <c r="O39" s="7">
        <f>$B39*'Janssen Payments'!M$22</f>
        <v>1902.8763108985047</v>
      </c>
      <c r="P39" s="7">
        <f>$B39*'Janssen Payments'!N$22</f>
        <v>1902.8763073566199</v>
      </c>
      <c r="Q39" s="7">
        <f>$B39*'Janssen Payments'!$O$22</f>
        <v>1778.7016997973101</v>
      </c>
      <c r="R39" s="7">
        <v>0</v>
      </c>
      <c r="S39" s="7">
        <f t="shared" si="0"/>
        <v>38704.854864950554</v>
      </c>
    </row>
    <row r="40" spans="1:19" customFormat="1" x14ac:dyDescent="0.35">
      <c r="A40" s="3" t="s">
        <v>63</v>
      </c>
      <c r="B40" s="6">
        <v>1.8585675774892199E-4</v>
      </c>
      <c r="C40" s="8" t="s">
        <v>64</v>
      </c>
      <c r="D40" s="33" t="s">
        <v>336</v>
      </c>
      <c r="E40" s="12">
        <v>626.16999999999996</v>
      </c>
      <c r="F40" s="13">
        <v>1786.94</v>
      </c>
      <c r="G40" s="13">
        <v>1381.4</v>
      </c>
      <c r="H40" s="13">
        <v>2252.0700000000002</v>
      </c>
      <c r="I40" s="13">
        <v>2522.69</v>
      </c>
      <c r="J40" s="12">
        <v>0</v>
      </c>
      <c r="K40" s="7">
        <f>$B40*'Janssen Payments'!I$22</f>
        <v>479.07861280297033</v>
      </c>
      <c r="L40" s="7">
        <f>$B40*'Janssen Payments'!J$22</f>
        <v>479.07861166764917</v>
      </c>
      <c r="M40" s="7">
        <f>$B40*'Janssen Payments'!K$22</f>
        <v>479.07860382130434</v>
      </c>
      <c r="N40" s="7">
        <f>$B40*'Janssen Payments'!L$22</f>
        <v>609.95087166128951</v>
      </c>
      <c r="O40" s="7">
        <f>$B40*'Janssen Payments'!M$22</f>
        <v>609.95087279661072</v>
      </c>
      <c r="P40" s="7">
        <f>$B40*'Janssen Payments'!N$22</f>
        <v>609.95087166128951</v>
      </c>
      <c r="Q40" s="7">
        <f>$B40*'Janssen Payments'!$O$22</f>
        <v>570.14775370444534</v>
      </c>
      <c r="R40" s="7">
        <v>0</v>
      </c>
      <c r="S40" s="7">
        <f t="shared" si="0"/>
        <v>12406.50619811556</v>
      </c>
    </row>
    <row r="41" spans="1:19" customFormat="1" x14ac:dyDescent="0.35">
      <c r="A41" s="3" t="s">
        <v>14</v>
      </c>
      <c r="B41" s="6">
        <v>8.0424445463974479E-5</v>
      </c>
      <c r="C41" s="8" t="s">
        <v>65</v>
      </c>
      <c r="D41" s="8" t="s">
        <v>337</v>
      </c>
      <c r="E41" s="12">
        <v>0</v>
      </c>
      <c r="F41" s="12">
        <v>0</v>
      </c>
      <c r="G41" s="12">
        <v>0</v>
      </c>
      <c r="H41" s="12">
        <v>0</v>
      </c>
      <c r="I41" s="12">
        <v>0</v>
      </c>
      <c r="J41" s="12">
        <v>0</v>
      </c>
      <c r="K41" s="12">
        <v>0</v>
      </c>
      <c r="L41" s="12">
        <v>0</v>
      </c>
      <c r="M41" s="12">
        <v>0</v>
      </c>
      <c r="N41" s="12">
        <v>0</v>
      </c>
      <c r="O41" s="12">
        <v>0</v>
      </c>
      <c r="P41" s="12">
        <v>0</v>
      </c>
      <c r="Q41" s="12">
        <v>0</v>
      </c>
      <c r="R41" s="7">
        <v>0</v>
      </c>
      <c r="S41" s="7">
        <f t="shared" si="0"/>
        <v>0</v>
      </c>
    </row>
    <row r="42" spans="1:19" customFormat="1" x14ac:dyDescent="0.35">
      <c r="A42" s="3" t="s">
        <v>66</v>
      </c>
      <c r="B42" s="6">
        <v>5.5569091004235556E-4</v>
      </c>
      <c r="C42" s="8" t="s">
        <v>67</v>
      </c>
      <c r="D42" s="33" t="s">
        <v>336</v>
      </c>
      <c r="E42" s="13">
        <v>1872.18</v>
      </c>
      <c r="F42" s="13">
        <v>5342.76</v>
      </c>
      <c r="G42" s="13">
        <v>4130.2299999999996</v>
      </c>
      <c r="H42" s="13">
        <v>6733.43</v>
      </c>
      <c r="I42" s="13">
        <v>7542.57</v>
      </c>
      <c r="J42" s="12">
        <v>0</v>
      </c>
      <c r="K42" s="7">
        <f>$B42*'Janssen Payments'!I$22</f>
        <v>1432.3914478802749</v>
      </c>
      <c r="L42" s="7">
        <f>$B42*'Janssen Payments'!J$22</f>
        <v>1432.3914444857917</v>
      </c>
      <c r="M42" s="7">
        <f>$B42*'Janssen Payments'!K$22</f>
        <v>1432.3914210260984</v>
      </c>
      <c r="N42" s="7">
        <f>$B42*'Janssen Payments'!L$22</f>
        <v>1823.6848584891229</v>
      </c>
      <c r="O42" s="7">
        <f>$B42*'Janssen Payments'!M$22</f>
        <v>1823.6848618836061</v>
      </c>
      <c r="P42" s="7">
        <f>$B42*'Janssen Payments'!N$22</f>
        <v>1823.6848584891229</v>
      </c>
      <c r="Q42" s="7">
        <f>$B42*'Janssen Payments'!$O$22</f>
        <v>1704.6779893935047</v>
      </c>
      <c r="R42" s="7">
        <v>0</v>
      </c>
      <c r="S42" s="7">
        <f t="shared" si="0"/>
        <v>37094.076881647517</v>
      </c>
    </row>
    <row r="43" spans="1:19" customFormat="1" x14ac:dyDescent="0.35">
      <c r="A43" s="3" t="s">
        <v>14</v>
      </c>
      <c r="B43" s="6">
        <v>2.5848972949928222E-5</v>
      </c>
      <c r="C43" s="8" t="s">
        <v>68</v>
      </c>
      <c r="D43" s="33" t="s">
        <v>336</v>
      </c>
      <c r="E43" s="12">
        <v>87.09</v>
      </c>
      <c r="F43" s="12">
        <v>248.53</v>
      </c>
      <c r="G43" s="12">
        <v>192.13</v>
      </c>
      <c r="H43" s="12">
        <v>313.22000000000003</v>
      </c>
      <c r="I43" s="12">
        <v>350.86</v>
      </c>
      <c r="J43" s="12">
        <v>0</v>
      </c>
      <c r="K43" s="7">
        <f>$B43*'Janssen Payments'!I$22</f>
        <v>66.630292345691927</v>
      </c>
      <c r="L43" s="7">
        <f>$B43*'Janssen Payments'!J$22</f>
        <v>66.630292187791369</v>
      </c>
      <c r="M43" s="7">
        <f>$B43*'Janssen Payments'!K$22</f>
        <v>66.630291096521091</v>
      </c>
      <c r="N43" s="7">
        <f>$B43*'Janssen Payments'!L$22</f>
        <v>84.832016727943071</v>
      </c>
      <c r="O43" s="7">
        <f>$B43*'Janssen Payments'!M$22</f>
        <v>84.832016885843629</v>
      </c>
      <c r="P43" s="7">
        <f>$B43*'Janssen Payments'!N$22</f>
        <v>84.832016727943071</v>
      </c>
      <c r="Q43" s="7">
        <f>$B43*'Janssen Payments'!$O$22</f>
        <v>79.296195852496666</v>
      </c>
      <c r="R43" s="7">
        <v>0</v>
      </c>
      <c r="S43" s="7">
        <f t="shared" si="0"/>
        <v>1725.5131218242304</v>
      </c>
    </row>
    <row r="44" spans="1:19" customFormat="1" x14ac:dyDescent="0.35">
      <c r="A44" s="3" t="s">
        <v>42</v>
      </c>
      <c r="B44" s="6">
        <v>1.784456672652E-2</v>
      </c>
      <c r="C44" s="8" t="s">
        <v>42</v>
      </c>
      <c r="D44" s="33" t="s">
        <v>336</v>
      </c>
      <c r="E44" s="13">
        <v>58326.09</v>
      </c>
      <c r="F44" s="13">
        <v>166449.26999999999</v>
      </c>
      <c r="G44" s="13">
        <v>128673.83</v>
      </c>
      <c r="H44" s="13">
        <v>209774.38</v>
      </c>
      <c r="I44" s="13">
        <v>234982.37</v>
      </c>
      <c r="J44" s="12">
        <v>0</v>
      </c>
      <c r="K44" s="7">
        <f>$B44*'Janssen Payments'!I$22</f>
        <v>45997.521838620516</v>
      </c>
      <c r="L44" s="7">
        <f>$B44*'Janssen Payments'!J$22</f>
        <v>45997.521729615532</v>
      </c>
      <c r="M44" s="7">
        <f>$B44*'Janssen Payments'!K$22</f>
        <v>45997.520976268563</v>
      </c>
      <c r="N44" s="7">
        <f>$B44*'Janssen Payments'!L$22</f>
        <v>58562.890911735216</v>
      </c>
      <c r="O44" s="7">
        <f>$B44*'Janssen Payments'!M$22</f>
        <v>58562.891020740208</v>
      </c>
      <c r="P44" s="7">
        <f>$B44*'Janssen Payments'!N$22</f>
        <v>58562.890911735216</v>
      </c>
      <c r="Q44" s="7">
        <f>$B44*'Janssen Payments'!$O$22</f>
        <v>54741.295168286539</v>
      </c>
      <c r="R44" s="7">
        <v>0</v>
      </c>
      <c r="S44" s="7">
        <f t="shared" si="0"/>
        <v>1166628.4725570017</v>
      </c>
    </row>
    <row r="45" spans="1:19" customFormat="1" x14ac:dyDescent="0.35">
      <c r="A45" s="3" t="s">
        <v>14</v>
      </c>
      <c r="B45" s="6">
        <v>3.1018767315879977E-5</v>
      </c>
      <c r="C45" s="8" t="s">
        <v>69</v>
      </c>
      <c r="D45" s="33" t="s">
        <v>336</v>
      </c>
      <c r="E45" s="12">
        <v>104.51</v>
      </c>
      <c r="F45" s="12">
        <v>298.23</v>
      </c>
      <c r="G45" s="12">
        <v>230.55</v>
      </c>
      <c r="H45" s="12">
        <v>375.86</v>
      </c>
      <c r="I45" s="12">
        <v>421.03</v>
      </c>
      <c r="J45" s="12">
        <v>0</v>
      </c>
      <c r="K45" s="7">
        <f>$B45*'Janssen Payments'!I$22</f>
        <v>79.956350237343401</v>
      </c>
      <c r="L45" s="7">
        <f>$B45*'Janssen Payments'!J$22</f>
        <v>79.956350047862742</v>
      </c>
      <c r="M45" s="7">
        <f>$B45*'Janssen Payments'!K$22</f>
        <v>79.956348738338406</v>
      </c>
      <c r="N45" s="7">
        <f>$B45*'Janssen Payments'!L$22</f>
        <v>101.79841933828983</v>
      </c>
      <c r="O45" s="7">
        <f>$B45*'Janssen Payments'!M$22</f>
        <v>101.79841952777051</v>
      </c>
      <c r="P45" s="7">
        <f>$B45*'Janssen Payments'!N$22</f>
        <v>101.79841933828983</v>
      </c>
      <c r="Q45" s="7">
        <f>$B45*'Janssen Payments'!$O$22</f>
        <v>95.15543433573329</v>
      </c>
      <c r="R45" s="7">
        <v>0</v>
      </c>
      <c r="S45" s="7">
        <f t="shared" si="0"/>
        <v>2070.599741563628</v>
      </c>
    </row>
    <row r="46" spans="1:19" customFormat="1" x14ac:dyDescent="0.35">
      <c r="A46" s="3" t="s">
        <v>22</v>
      </c>
      <c r="B46" s="6">
        <v>2.6353816720000004E-3</v>
      </c>
      <c r="C46" s="8" t="s">
        <v>70</v>
      </c>
      <c r="D46" s="33" t="s">
        <v>336</v>
      </c>
      <c r="E46" s="13">
        <v>8613.91</v>
      </c>
      <c r="F46" s="13">
        <v>24582.12</v>
      </c>
      <c r="G46" s="13">
        <v>19003.240000000002</v>
      </c>
      <c r="H46" s="13">
        <v>30980.61</v>
      </c>
      <c r="I46" s="13">
        <v>34703.46</v>
      </c>
      <c r="J46" s="12">
        <v>0</v>
      </c>
      <c r="K46" s="7">
        <f>$B46*'Janssen Payments'!I$22</f>
        <v>6793.1616311403977</v>
      </c>
      <c r="L46" s="7">
        <f>$B46*'Janssen Payments'!J$22</f>
        <v>6793.1616150419541</v>
      </c>
      <c r="M46" s="7">
        <f>$B46*'Janssen Payments'!K$22</f>
        <v>6793.1615037836191</v>
      </c>
      <c r="N46" s="7">
        <f>$B46*'Janssen Payments'!L$22</f>
        <v>8648.8829756092655</v>
      </c>
      <c r="O46" s="7">
        <f>$B46*'Janssen Payments'!M$22</f>
        <v>8648.8829917077092</v>
      </c>
      <c r="P46" s="7">
        <f>$B46*'Janssen Payments'!N$22</f>
        <v>8648.8829756092655</v>
      </c>
      <c r="Q46" s="7">
        <f>$B46*'Janssen Payments'!$O$22</f>
        <v>8084.4891444544783</v>
      </c>
      <c r="R46" s="7">
        <v>0</v>
      </c>
      <c r="S46" s="7">
        <f t="shared" si="0"/>
        <v>172293.96283734671</v>
      </c>
    </row>
    <row r="47" spans="1:19" customFormat="1" x14ac:dyDescent="0.35">
      <c r="A47" s="3" t="s">
        <v>14</v>
      </c>
      <c r="B47" s="6">
        <v>1.1358916567598824E-4</v>
      </c>
      <c r="C47" s="8" t="s">
        <v>71</v>
      </c>
      <c r="D47" s="33" t="s">
        <v>336</v>
      </c>
      <c r="E47" s="12">
        <v>382.69</v>
      </c>
      <c r="F47" s="13">
        <v>1092.1199999999999</v>
      </c>
      <c r="G47" s="12">
        <v>844.26</v>
      </c>
      <c r="H47" s="13">
        <v>1376.39</v>
      </c>
      <c r="I47" s="13">
        <v>1541.78</v>
      </c>
      <c r="J47" s="12">
        <v>0</v>
      </c>
      <c r="K47" s="7">
        <f>$B47*'Janssen Payments'!I$22</f>
        <v>292.79613278853111</v>
      </c>
      <c r="L47" s="7">
        <f>$B47*'Janssen Payments'!J$22</f>
        <v>292.79613209466243</v>
      </c>
      <c r="M47" s="7">
        <f>$B47*'Janssen Payments'!K$22</f>
        <v>292.7961272992502</v>
      </c>
      <c r="N47" s="7">
        <f>$B47*'Janssen Payments'!L$22</f>
        <v>372.78069118662171</v>
      </c>
      <c r="O47" s="7">
        <f>$B47*'Janssen Payments'!M$22</f>
        <v>372.78069188049039</v>
      </c>
      <c r="P47" s="7">
        <f>$B47*'Janssen Payments'!N$22</f>
        <v>372.78069118662171</v>
      </c>
      <c r="Q47" s="7">
        <f>$B47*'Janssen Payments'!$O$22</f>
        <v>348.45441424742825</v>
      </c>
      <c r="R47" s="7">
        <v>0</v>
      </c>
      <c r="S47" s="7">
        <f t="shared" si="0"/>
        <v>7582.4248806836049</v>
      </c>
    </row>
    <row r="48" spans="1:19" customFormat="1" x14ac:dyDescent="0.35">
      <c r="A48" s="3" t="s">
        <v>72</v>
      </c>
      <c r="B48" s="6">
        <v>4.1274553924800002E-3</v>
      </c>
      <c r="C48" s="8" t="s">
        <v>72</v>
      </c>
      <c r="D48" s="33" t="s">
        <v>336</v>
      </c>
      <c r="E48" s="13">
        <v>13490.85</v>
      </c>
      <c r="F48" s="13">
        <v>38499.78</v>
      </c>
      <c r="G48" s="13">
        <v>29762.31</v>
      </c>
      <c r="H48" s="13">
        <v>48520.9</v>
      </c>
      <c r="I48" s="13">
        <v>54351.519999999997</v>
      </c>
      <c r="J48" s="12">
        <v>0</v>
      </c>
      <c r="K48" s="7">
        <f>$B48*'Janssen Payments'!I$22</f>
        <v>10639.245125037307</v>
      </c>
      <c r="L48" s="7">
        <f>$B48*'Janssen Payments'!J$22</f>
        <v>10639.245099824409</v>
      </c>
      <c r="M48" s="7">
        <f>$B48*'Janssen Payments'!K$22</f>
        <v>10639.244925574956</v>
      </c>
      <c r="N48" s="7">
        <f>$B48*'Janssen Payments'!L$22</f>
        <v>13545.619997241496</v>
      </c>
      <c r="O48" s="7">
        <f>$B48*'Janssen Payments'!M$22</f>
        <v>13545.620022454394</v>
      </c>
      <c r="P48" s="7">
        <f>$B48*'Janssen Payments'!N$22</f>
        <v>13545.619997241496</v>
      </c>
      <c r="Q48" s="7">
        <f>$B48*'Janssen Payments'!$O$22</f>
        <v>12661.683379395019</v>
      </c>
      <c r="R48" s="7">
        <v>0</v>
      </c>
      <c r="S48" s="7">
        <f t="shared" si="0"/>
        <v>269841.63854676904</v>
      </c>
    </row>
    <row r="49" spans="1:19" customFormat="1" x14ac:dyDescent="0.35">
      <c r="A49" s="3" t="s">
        <v>73</v>
      </c>
      <c r="B49" s="6">
        <v>2.1428580409600002E-3</v>
      </c>
      <c r="C49" s="8" t="s">
        <v>73</v>
      </c>
      <c r="D49" s="33" t="s">
        <v>336</v>
      </c>
      <c r="E49" s="13">
        <v>7004.07</v>
      </c>
      <c r="F49" s="13">
        <v>19988</v>
      </c>
      <c r="G49" s="13">
        <v>15451.75</v>
      </c>
      <c r="H49" s="13">
        <v>25190.68</v>
      </c>
      <c r="I49" s="13">
        <v>28217.77</v>
      </c>
      <c r="J49" s="12">
        <v>0</v>
      </c>
      <c r="K49" s="7">
        <f>$B49*'Janssen Payments'!I$22</f>
        <v>5523.5949993470822</v>
      </c>
      <c r="L49" s="7">
        <f>$B49*'Janssen Payments'!J$22</f>
        <v>5523.5949862572588</v>
      </c>
      <c r="M49" s="7">
        <f>$B49*'Janssen Payments'!K$22</f>
        <v>5523.5948957918736</v>
      </c>
      <c r="N49" s="7">
        <f>$B49*'Janssen Payments'!L$22</f>
        <v>7032.5025883409744</v>
      </c>
      <c r="O49" s="7">
        <f>$B49*'Janssen Payments'!M$22</f>
        <v>7032.5026014307978</v>
      </c>
      <c r="P49" s="7">
        <f>$B49*'Janssen Payments'!N$22</f>
        <v>7032.5025883409744</v>
      </c>
      <c r="Q49" s="7">
        <f>$B49*'Janssen Payments'!$O$22</f>
        <v>6573.5877100112539</v>
      </c>
      <c r="R49" s="7">
        <v>0</v>
      </c>
      <c r="S49" s="7">
        <f t="shared" si="0"/>
        <v>140094.15036952021</v>
      </c>
    </row>
    <row r="50" spans="1:19" customFormat="1" x14ac:dyDescent="0.35">
      <c r="A50" s="3" t="s">
        <v>74</v>
      </c>
      <c r="B50" s="6">
        <v>3.0541231375200003E-3</v>
      </c>
      <c r="C50" s="8" t="s">
        <v>74</v>
      </c>
      <c r="D50" s="33" t="s">
        <v>336</v>
      </c>
      <c r="E50" s="13">
        <v>9982.59</v>
      </c>
      <c r="F50" s="13">
        <v>28488.03</v>
      </c>
      <c r="G50" s="13">
        <v>22022.71</v>
      </c>
      <c r="H50" s="13">
        <v>35903.19</v>
      </c>
      <c r="I50" s="13">
        <v>40217.57</v>
      </c>
      <c r="J50" s="12">
        <v>0</v>
      </c>
      <c r="K50" s="7">
        <f>$B50*'Janssen Payments'!I$22</f>
        <v>7872.5417024069648</v>
      </c>
      <c r="L50" s="7">
        <f>$B50*'Janssen Payments'!J$22</f>
        <v>7872.5416837506045</v>
      </c>
      <c r="M50" s="7">
        <f>$B50*'Janssen Payments'!K$22</f>
        <v>7872.5415548141937</v>
      </c>
      <c r="N50" s="7">
        <f>$B50*'Janssen Payments'!L$22</f>
        <v>10023.122605032324</v>
      </c>
      <c r="O50" s="7">
        <f>$B50*'Janssen Payments'!M$22</f>
        <v>10023.122623688685</v>
      </c>
      <c r="P50" s="7">
        <f>$B50*'Janssen Payments'!N$22</f>
        <v>10023.122605032324</v>
      </c>
      <c r="Q50" s="7">
        <f>$B50*'Janssen Payments'!$O$22</f>
        <v>9369.0510234024623</v>
      </c>
      <c r="R50" s="7">
        <v>0</v>
      </c>
      <c r="S50" s="7">
        <f t="shared" si="0"/>
        <v>199670.13379812756</v>
      </c>
    </row>
    <row r="51" spans="1:19" customFormat="1" x14ac:dyDescent="0.35">
      <c r="A51" s="3" t="s">
        <v>75</v>
      </c>
      <c r="B51" s="6">
        <v>1.1833646673192724E-3</v>
      </c>
      <c r="C51" s="8" t="s">
        <v>76</v>
      </c>
      <c r="D51" s="33" t="s">
        <v>336</v>
      </c>
      <c r="E51" s="13">
        <v>3986.87</v>
      </c>
      <c r="F51" s="13">
        <v>11377.62</v>
      </c>
      <c r="G51" s="13">
        <v>8795.48</v>
      </c>
      <c r="H51" s="13">
        <v>14339.1</v>
      </c>
      <c r="I51" s="13">
        <v>16062.19</v>
      </c>
      <c r="J51" s="12">
        <v>0</v>
      </c>
      <c r="K51" s="7">
        <f>$B51*'Janssen Payments'!I$22</f>
        <v>3050.3313956721263</v>
      </c>
      <c r="L51" s="7">
        <f>$B51*'Janssen Payments'!J$22</f>
        <v>3050.3313884434469</v>
      </c>
      <c r="M51" s="7">
        <f>$B51*'Janssen Payments'!K$22</f>
        <v>3050.331338485149</v>
      </c>
      <c r="N51" s="7">
        <f>$B51*'Janssen Payments'!L$22</f>
        <v>3883.6054123985637</v>
      </c>
      <c r="O51" s="7">
        <f>$B51*'Janssen Payments'!M$22</f>
        <v>3883.605419627243</v>
      </c>
      <c r="P51" s="7">
        <f>$B51*'Janssen Payments'!N$22</f>
        <v>3883.6054123985637</v>
      </c>
      <c r="Q51" s="7">
        <f>$B51*'Janssen Payments'!$O$22</f>
        <v>3630.1758141974515</v>
      </c>
      <c r="R51" s="7">
        <v>0</v>
      </c>
      <c r="S51" s="7">
        <f t="shared" si="0"/>
        <v>78993.246181222552</v>
      </c>
    </row>
    <row r="52" spans="1:19" customFormat="1" x14ac:dyDescent="0.35">
      <c r="A52" s="3" t="s">
        <v>77</v>
      </c>
      <c r="B52" s="6">
        <v>2.7759273233599999E-3</v>
      </c>
      <c r="C52" s="8" t="s">
        <v>77</v>
      </c>
      <c r="D52" s="33" t="s">
        <v>336</v>
      </c>
      <c r="E52" s="13">
        <v>9073.2900000000009</v>
      </c>
      <c r="F52" s="13">
        <v>25893.1</v>
      </c>
      <c r="G52" s="13">
        <v>20016.689999999999</v>
      </c>
      <c r="H52" s="13">
        <v>32632.82</v>
      </c>
      <c r="I52" s="13">
        <v>36554.21</v>
      </c>
      <c r="J52" s="12">
        <v>0</v>
      </c>
      <c r="K52" s="7">
        <f>$B52*'Janssen Payments'!I$22</f>
        <v>7155.4428659179857</v>
      </c>
      <c r="L52" s="7">
        <f>$B52*'Janssen Payments'!J$22</f>
        <v>7155.4428489610073</v>
      </c>
      <c r="M52" s="7">
        <f>$B52*'Janssen Payments'!K$22</f>
        <v>7155.4427317692343</v>
      </c>
      <c r="N52" s="7">
        <f>$B52*'Janssen Payments'!L$22</f>
        <v>9110.1303555460472</v>
      </c>
      <c r="O52" s="7">
        <f>$B52*'Janssen Payments'!M$22</f>
        <v>9110.1303725030248</v>
      </c>
      <c r="P52" s="7">
        <f>$B52*'Janssen Payments'!N$22</f>
        <v>9110.1303555460472</v>
      </c>
      <c r="Q52" s="7">
        <f>$B52*'Janssen Payments'!$O$22</f>
        <v>8515.6372414426096</v>
      </c>
      <c r="R52" s="7">
        <v>0</v>
      </c>
      <c r="S52" s="7">
        <f t="shared" si="0"/>
        <v>181482.46677168593</v>
      </c>
    </row>
    <row r="53" spans="1:19" customFormat="1" x14ac:dyDescent="0.35">
      <c r="A53" s="3" t="s">
        <v>78</v>
      </c>
      <c r="B53" s="6">
        <v>2.6242966079416128E-3</v>
      </c>
      <c r="C53" s="8" t="s">
        <v>78</v>
      </c>
      <c r="D53" s="33" t="s">
        <v>336</v>
      </c>
      <c r="E53" s="13">
        <v>8841.51</v>
      </c>
      <c r="F53" s="13">
        <v>25231.65</v>
      </c>
      <c r="G53" s="13">
        <v>19505.36</v>
      </c>
      <c r="H53" s="13">
        <v>31799.200000000001</v>
      </c>
      <c r="I53" s="13">
        <v>35620.42</v>
      </c>
      <c r="J53" s="12">
        <v>0</v>
      </c>
      <c r="K53" s="7">
        <f>$B53*'Janssen Payments'!I$22</f>
        <v>6764.5879210625617</v>
      </c>
      <c r="L53" s="7">
        <f>$B53*'Janssen Payments'!J$22</f>
        <v>6764.5879050318317</v>
      </c>
      <c r="M53" s="7">
        <f>$B53*'Janssen Payments'!K$22</f>
        <v>6764.5877942414763</v>
      </c>
      <c r="N53" s="7">
        <f>$B53*'Janssen Payments'!L$22</f>
        <v>8612.5036447378588</v>
      </c>
      <c r="O53" s="7">
        <f>$B53*'Janssen Payments'!M$22</f>
        <v>8612.5036607685888</v>
      </c>
      <c r="P53" s="7">
        <f>$B53*'Janssen Payments'!N$22</f>
        <v>8612.5036447378588</v>
      </c>
      <c r="Q53" s="7">
        <f>$B53*'Janssen Payments'!$O$22</f>
        <v>8050.4837929724645</v>
      </c>
      <c r="R53" s="7">
        <v>0</v>
      </c>
      <c r="S53" s="7">
        <f t="shared" si="0"/>
        <v>175179.89836355261</v>
      </c>
    </row>
    <row r="54" spans="1:19" customFormat="1" x14ac:dyDescent="0.35">
      <c r="A54" s="3" t="s">
        <v>34</v>
      </c>
      <c r="B54" s="6">
        <v>1.3075223087549408E-4</v>
      </c>
      <c r="C54" s="8" t="s">
        <v>79</v>
      </c>
      <c r="D54" s="33" t="s">
        <v>336</v>
      </c>
      <c r="E54" s="12">
        <v>440.52</v>
      </c>
      <c r="F54" s="13">
        <v>1257.1300000000001</v>
      </c>
      <c r="G54" s="12">
        <v>971.83</v>
      </c>
      <c r="H54" s="13">
        <v>1584.35</v>
      </c>
      <c r="I54" s="13">
        <v>1774.74</v>
      </c>
      <c r="J54" s="12">
        <v>0</v>
      </c>
      <c r="K54" s="7">
        <f>$B54*'Janssen Payments'!I$22</f>
        <v>337.0369640976304</v>
      </c>
      <c r="L54" s="7">
        <f>$B54*'Janssen Payments'!J$22</f>
        <v>337.03696329891972</v>
      </c>
      <c r="M54" s="7">
        <f>$B54*'Janssen Payments'!K$22</f>
        <v>337.03695777893165</v>
      </c>
      <c r="N54" s="7">
        <f>$B54*'Janssen Payments'!L$22</f>
        <v>429.10700778448484</v>
      </c>
      <c r="O54" s="7">
        <f>$B54*'Janssen Payments'!M$22</f>
        <v>429.10700858319552</v>
      </c>
      <c r="P54" s="7">
        <f>$B54*'Janssen Payments'!N$22</f>
        <v>429.10700778448484</v>
      </c>
      <c r="Q54" s="7">
        <f>$B54*'Janssen Payments'!$O$22</f>
        <v>401.10508559616989</v>
      </c>
      <c r="R54" s="7">
        <v>0</v>
      </c>
      <c r="S54" s="7">
        <f t="shared" si="0"/>
        <v>8728.1069949238154</v>
      </c>
    </row>
    <row r="55" spans="1:19" customFormat="1" x14ac:dyDescent="0.35">
      <c r="A55" s="3" t="s">
        <v>75</v>
      </c>
      <c r="B55" s="6">
        <v>6.5243179433600003E-3</v>
      </c>
      <c r="C55" s="8" t="s">
        <v>80</v>
      </c>
      <c r="D55" s="33" t="s">
        <v>336</v>
      </c>
      <c r="E55" s="13">
        <v>21325.14</v>
      </c>
      <c r="F55" s="13">
        <v>60857.07</v>
      </c>
      <c r="G55" s="13">
        <v>47045.63</v>
      </c>
      <c r="H55" s="13">
        <v>76697.56</v>
      </c>
      <c r="I55" s="13">
        <v>85914.09</v>
      </c>
      <c r="J55" s="12">
        <v>0</v>
      </c>
      <c r="K55" s="7">
        <f>$B55*'Janssen Payments'!I$22</f>
        <v>16817.581602348633</v>
      </c>
      <c r="L55" s="7">
        <f>$B55*'Janssen Payments'!J$22</f>
        <v>16817.581562494306</v>
      </c>
      <c r="M55" s="7">
        <f>$B55*'Janssen Payments'!K$22</f>
        <v>16817.581287056117</v>
      </c>
      <c r="N55" s="7">
        <f>$B55*'Janssen Payments'!L$22</f>
        <v>21411.723010490889</v>
      </c>
      <c r="O55" s="7">
        <f>$B55*'Janssen Payments'!M$22</f>
        <v>21411.723050345219</v>
      </c>
      <c r="P55" s="7">
        <f>$B55*'Janssen Payments'!N$22</f>
        <v>21411.723010490889</v>
      </c>
      <c r="Q55" s="7">
        <f>$B55*'Janssen Payments'!$O$22</f>
        <v>20014.473861023147</v>
      </c>
      <c r="R55" s="7">
        <v>0</v>
      </c>
      <c r="S55" s="7">
        <f t="shared" si="0"/>
        <v>426541.87738424918</v>
      </c>
    </row>
    <row r="56" spans="1:19" customFormat="1" x14ac:dyDescent="0.35">
      <c r="A56" s="3" t="s">
        <v>40</v>
      </c>
      <c r="B56" s="6">
        <v>5.4026690121600001E-3</v>
      </c>
      <c r="C56" s="8" t="s">
        <v>40</v>
      </c>
      <c r="D56" s="33" t="s">
        <v>336</v>
      </c>
      <c r="E56" s="13">
        <v>17658.96</v>
      </c>
      <c r="F56" s="13">
        <v>50394.63</v>
      </c>
      <c r="G56" s="13">
        <v>38957.629999999997</v>
      </c>
      <c r="H56" s="13">
        <v>63511.86</v>
      </c>
      <c r="I56" s="13">
        <v>71143.89</v>
      </c>
      <c r="J56" s="12">
        <v>0</v>
      </c>
      <c r="K56" s="7">
        <f>$B56*'Janssen Payments'!I$22</f>
        <v>13926.333414660139</v>
      </c>
      <c r="L56" s="7">
        <f>$B56*'Janssen Payments'!J$22</f>
        <v>13926.333381657494</v>
      </c>
      <c r="M56" s="7">
        <f>$B56*'Janssen Payments'!K$22</f>
        <v>13926.333153572141</v>
      </c>
      <c r="N56" s="7">
        <f>$B56*'Janssen Payments'!L$22</f>
        <v>17730.658347737932</v>
      </c>
      <c r="O56" s="7">
        <f>$B56*'Janssen Payments'!M$22</f>
        <v>17730.658380740573</v>
      </c>
      <c r="P56" s="7">
        <f>$B56*'Janssen Payments'!N$22</f>
        <v>17730.658347737932</v>
      </c>
      <c r="Q56" s="7">
        <f>$B56*'Janssen Payments'!$O$22</f>
        <v>16573.621742895735</v>
      </c>
      <c r="R56" s="7">
        <v>0</v>
      </c>
      <c r="S56" s="7">
        <f t="shared" si="0"/>
        <v>353211.56676900195</v>
      </c>
    </row>
    <row r="57" spans="1:19" customFormat="1" x14ac:dyDescent="0.35">
      <c r="A57" s="3" t="s">
        <v>58</v>
      </c>
      <c r="B57" s="6">
        <v>7.2438662113715282E-5</v>
      </c>
      <c r="C57" s="8" t="s">
        <v>81</v>
      </c>
      <c r="D57" s="33" t="s">
        <v>336</v>
      </c>
      <c r="E57" s="12">
        <v>244.05</v>
      </c>
      <c r="F57" s="12">
        <v>696.47</v>
      </c>
      <c r="G57" s="12">
        <v>538.41</v>
      </c>
      <c r="H57" s="12">
        <v>877.76</v>
      </c>
      <c r="I57" s="12">
        <v>983.23</v>
      </c>
      <c r="J57" s="12">
        <v>0</v>
      </c>
      <c r="K57" s="7">
        <f>$B57*'Janssen Payments'!I$22</f>
        <v>186.72344325313128</v>
      </c>
      <c r="L57" s="7">
        <f>$B57*'Janssen Payments'!J$22</f>
        <v>186.7234428106338</v>
      </c>
      <c r="M57" s="7">
        <f>$B57*'Janssen Payments'!K$22</f>
        <v>186.72343975247907</v>
      </c>
      <c r="N57" s="7">
        <f>$B57*'Janssen Payments'!L$22</f>
        <v>237.73160380817276</v>
      </c>
      <c r="O57" s="7">
        <f>$B57*'Janssen Payments'!M$22</f>
        <v>237.73160425067024</v>
      </c>
      <c r="P57" s="7">
        <f>$B57*'Janssen Payments'!N$22</f>
        <v>237.73160380817276</v>
      </c>
      <c r="Q57" s="7">
        <f>$B57*'Janssen Payments'!$O$22</f>
        <v>222.21812639863307</v>
      </c>
      <c r="R57" s="7">
        <v>0</v>
      </c>
      <c r="S57" s="7">
        <f t="shared" si="0"/>
        <v>4835.5032640818927</v>
      </c>
    </row>
    <row r="58" spans="1:19" customFormat="1" x14ac:dyDescent="0.35">
      <c r="A58" s="3" t="s">
        <v>34</v>
      </c>
      <c r="B58" s="6">
        <v>1.8638816278393182E-4</v>
      </c>
      <c r="C58" s="8" t="s">
        <v>82</v>
      </c>
      <c r="D58" s="33" t="s">
        <v>336</v>
      </c>
      <c r="E58" s="12">
        <v>627.96</v>
      </c>
      <c r="F58" s="13">
        <v>1792.05</v>
      </c>
      <c r="G58" s="13">
        <v>1385.35</v>
      </c>
      <c r="H58" s="13">
        <v>2258.5100000000002</v>
      </c>
      <c r="I58" s="13">
        <v>2529.91</v>
      </c>
      <c r="J58" s="12">
        <v>0</v>
      </c>
      <c r="K58" s="7">
        <f>$B58*'Janssen Payments'!I$22</f>
        <v>480.44840311940828</v>
      </c>
      <c r="L58" s="7">
        <f>$B58*'Janssen Payments'!J$22</f>
        <v>480.44840198084097</v>
      </c>
      <c r="M58" s="7">
        <f>$B58*'Janssen Payments'!K$22</f>
        <v>480.44839411206169</v>
      </c>
      <c r="N58" s="7">
        <f>$B58*'Janssen Payments'!L$22</f>
        <v>611.69485432963734</v>
      </c>
      <c r="O58" s="7">
        <f>$B58*'Janssen Payments'!M$22</f>
        <v>611.69485546820465</v>
      </c>
      <c r="P58" s="7">
        <f>$B58*'Janssen Payments'!N$22</f>
        <v>611.69485432963734</v>
      </c>
      <c r="Q58" s="7">
        <f>$B58*'Janssen Payments'!$O$22</f>
        <v>571.77793057123097</v>
      </c>
      <c r="R58" s="7">
        <v>0</v>
      </c>
      <c r="S58" s="7">
        <f t="shared" si="0"/>
        <v>12441.987693911018</v>
      </c>
    </row>
    <row r="59" spans="1:19" customFormat="1" x14ac:dyDescent="0.35">
      <c r="A59" s="3" t="s">
        <v>83</v>
      </c>
      <c r="B59" s="6">
        <v>7.9220184314155847E-5</v>
      </c>
      <c r="C59" s="8" t="s">
        <v>84</v>
      </c>
      <c r="D59" s="33" t="s">
        <v>336</v>
      </c>
      <c r="E59" s="12">
        <v>266.89999999999998</v>
      </c>
      <c r="F59" s="12">
        <v>761.67</v>
      </c>
      <c r="G59" s="12">
        <v>588.80999999999995</v>
      </c>
      <c r="H59" s="12">
        <v>959.93</v>
      </c>
      <c r="I59" s="13">
        <v>1075.28</v>
      </c>
      <c r="J59" s="12">
        <v>0</v>
      </c>
      <c r="K59" s="7">
        <f>$B59*'Janssen Payments'!I$22</f>
        <v>204.20401424678113</v>
      </c>
      <c r="L59" s="7">
        <f>$B59*'Janssen Payments'!J$22</f>
        <v>204.20401376285815</v>
      </c>
      <c r="M59" s="7">
        <f>$B59*'Janssen Payments'!K$22</f>
        <v>204.2040104184068</v>
      </c>
      <c r="N59" s="7">
        <f>$B59*'Janssen Payments'!L$22</f>
        <v>259.98742827992567</v>
      </c>
      <c r="O59" s="7">
        <f>$B59*'Janssen Payments'!M$22</f>
        <v>259.98742876384864</v>
      </c>
      <c r="P59" s="7">
        <f>$B59*'Janssen Payments'!N$22</f>
        <v>259.98742827992567</v>
      </c>
      <c r="Q59" s="7">
        <f>$B59*'Janssen Payments'!$O$22</f>
        <v>243.02161880917708</v>
      </c>
      <c r="R59" s="7">
        <v>0</v>
      </c>
      <c r="S59" s="7">
        <f t="shared" si="0"/>
        <v>5288.1859425609236</v>
      </c>
    </row>
    <row r="60" spans="1:19" customFormat="1" x14ac:dyDescent="0.35">
      <c r="A60" s="3" t="s">
        <v>83</v>
      </c>
      <c r="B60" s="6">
        <v>8.9895201632256128E-6</v>
      </c>
      <c r="C60" s="8" t="s">
        <v>85</v>
      </c>
      <c r="D60" s="33" t="s">
        <v>338</v>
      </c>
      <c r="E60" s="12">
        <f>30.29+222.06</f>
        <v>252.35</v>
      </c>
      <c r="F60" s="12">
        <v>86.43</v>
      </c>
      <c r="G60" s="12">
        <v>66.819999999999993</v>
      </c>
      <c r="H60" s="12">
        <v>108.93</v>
      </c>
      <c r="I60" s="12">
        <v>122.02</v>
      </c>
      <c r="J60" s="12">
        <v>0</v>
      </c>
      <c r="K60" s="51">
        <f>$B60*'Janssen Payments'!I$22</f>
        <v>23.172075644300524</v>
      </c>
      <c r="L60" s="51">
        <f>$B60*'Janssen Payments'!J$22</f>
        <v>23.172075589387308</v>
      </c>
      <c r="M60" s="51">
        <f>$B60*'Janssen Payments'!K$22</f>
        <v>23.172075209875278</v>
      </c>
      <c r="N60" s="51">
        <f>$B60*'Janssen Payments'!L$22</f>
        <v>29.502105415954421</v>
      </c>
      <c r="O60" s="51">
        <f>$B60*'Janssen Payments'!M$22</f>
        <v>29.502105470867637</v>
      </c>
      <c r="P60" s="51">
        <f>$B60*'Janssen Payments'!N$22</f>
        <v>29.502105415954421</v>
      </c>
      <c r="Q60" s="51">
        <f>$B60*'Janssen Payments'!$O$22</f>
        <v>27.576908098589868</v>
      </c>
      <c r="R60" s="7">
        <v>0</v>
      </c>
      <c r="S60" s="7">
        <f>E60+F60+G60+H60+I60</f>
        <v>636.54999999999995</v>
      </c>
    </row>
    <row r="61" spans="1:19" customFormat="1" x14ac:dyDescent="0.35">
      <c r="A61" s="3" t="s">
        <v>86</v>
      </c>
      <c r="B61" s="6">
        <v>2.88625325072E-3</v>
      </c>
      <c r="C61" s="8" t="s">
        <v>86</v>
      </c>
      <c r="D61" s="33" t="s">
        <v>336</v>
      </c>
      <c r="E61" s="13">
        <v>9433.9</v>
      </c>
      <c r="F61" s="13">
        <v>26922.19</v>
      </c>
      <c r="G61" s="13">
        <v>20812.23</v>
      </c>
      <c r="H61" s="13">
        <v>33929.769999999997</v>
      </c>
      <c r="I61" s="13">
        <v>38007.01</v>
      </c>
      <c r="J61" s="12">
        <v>0</v>
      </c>
      <c r="K61" s="7">
        <f>$B61*'Janssen Payments'!I$22</f>
        <v>7439.8274257047915</v>
      </c>
      <c r="L61" s="7">
        <f>$B61*'Janssen Payments'!J$22</f>
        <v>7439.8274080738784</v>
      </c>
      <c r="M61" s="7">
        <f>$B61*'Janssen Payments'!K$22</f>
        <v>7439.8272862244567</v>
      </c>
      <c r="N61" s="7">
        <f>$B61*'Janssen Payments'!L$22</f>
        <v>9472.2016429994746</v>
      </c>
      <c r="O61" s="7">
        <f>$B61*'Janssen Payments'!M$22</f>
        <v>9472.2016606303896</v>
      </c>
      <c r="P61" s="7">
        <f>$B61*'Janssen Payments'!N$22</f>
        <v>9472.2016429994746</v>
      </c>
      <c r="Q61" s="7">
        <f>$B61*'Janssen Payments'!$O$22</f>
        <v>8854.0811076841564</v>
      </c>
      <c r="R61" s="7">
        <v>0</v>
      </c>
      <c r="S61" s="7">
        <f t="shared" si="0"/>
        <v>188695.26817431665</v>
      </c>
    </row>
    <row r="62" spans="1:19" customFormat="1" x14ac:dyDescent="0.35">
      <c r="A62" s="3" t="s">
        <v>63</v>
      </c>
      <c r="B62" s="6">
        <v>8.2901644793597081E-5</v>
      </c>
      <c r="C62" s="8" t="s">
        <v>87</v>
      </c>
      <c r="D62" s="33" t="s">
        <v>336</v>
      </c>
      <c r="E62" s="12">
        <v>279.3</v>
      </c>
      <c r="F62" s="12">
        <v>797.07</v>
      </c>
      <c r="G62" s="12">
        <v>616.17999999999995</v>
      </c>
      <c r="H62" s="13">
        <v>1004.54</v>
      </c>
      <c r="I62" s="13">
        <v>1125.25</v>
      </c>
      <c r="J62" s="12">
        <v>0</v>
      </c>
      <c r="K62" s="7">
        <f>$B62*'Janssen Payments'!I$22</f>
        <v>213.6936287269944</v>
      </c>
      <c r="L62" s="7">
        <f>$B62*'Janssen Payments'!J$22</f>
        <v>213.69362822058295</v>
      </c>
      <c r="M62" s="7">
        <f>$B62*'Janssen Payments'!K$22</f>
        <v>213.69362472071077</v>
      </c>
      <c r="N62" s="7">
        <f>$B62*'Janssen Payments'!L$22</f>
        <v>272.06936737979566</v>
      </c>
      <c r="O62" s="7">
        <f>$B62*'Janssen Payments'!M$22</f>
        <v>272.06936788620715</v>
      </c>
      <c r="P62" s="7">
        <f>$B62*'Janssen Payments'!N$22</f>
        <v>272.06936737979566</v>
      </c>
      <c r="Q62" s="7">
        <f>$B62*'Janssen Payments'!$O$22</f>
        <v>254.31513564508717</v>
      </c>
      <c r="R62" s="7">
        <v>0</v>
      </c>
      <c r="S62" s="7">
        <f t="shared" si="0"/>
        <v>5533.9441199591747</v>
      </c>
    </row>
    <row r="63" spans="1:19" customFormat="1" x14ac:dyDescent="0.35">
      <c r="A63" s="3" t="s">
        <v>22</v>
      </c>
      <c r="B63" s="6">
        <v>2.8087272219326216E-3</v>
      </c>
      <c r="C63" s="8" t="s">
        <v>88</v>
      </c>
      <c r="D63" s="33" t="s">
        <v>336</v>
      </c>
      <c r="E63" s="13">
        <v>9462.8799999999992</v>
      </c>
      <c r="F63" s="13">
        <v>27004.880000000001</v>
      </c>
      <c r="G63" s="13">
        <v>20876.16</v>
      </c>
      <c r="H63" s="13">
        <v>34033.99</v>
      </c>
      <c r="I63" s="13">
        <v>38123.760000000002</v>
      </c>
      <c r="J63" s="12">
        <v>0</v>
      </c>
      <c r="K63" s="7">
        <f>$B63*'Janssen Payments'!I$22</f>
        <v>7239.9903964924606</v>
      </c>
      <c r="L63" s="7">
        <f>$B63*'Janssen Payments'!J$22</f>
        <v>7239.9903793351214</v>
      </c>
      <c r="M63" s="7">
        <f>$B63*'Janssen Payments'!K$22</f>
        <v>7239.9902607586291</v>
      </c>
      <c r="N63" s="7">
        <f>$B63*'Janssen Payments'!L$22</f>
        <v>9217.7741505152862</v>
      </c>
      <c r="O63" s="7">
        <f>$B63*'Janssen Payments'!M$22</f>
        <v>9217.7741676726255</v>
      </c>
      <c r="P63" s="7">
        <f>$B63*'Janssen Payments'!N$22</f>
        <v>9217.7741505152862</v>
      </c>
      <c r="Q63" s="7">
        <f>$B63*'Janssen Payments'!$O$22</f>
        <v>8616.2566040066395</v>
      </c>
      <c r="R63" s="7">
        <v>0</v>
      </c>
      <c r="S63" s="7">
        <f t="shared" si="0"/>
        <v>187491.22010929609</v>
      </c>
    </row>
    <row r="64" spans="1:19" customFormat="1" x14ac:dyDescent="0.35">
      <c r="A64" s="3" t="s">
        <v>22</v>
      </c>
      <c r="B64" s="6">
        <v>9.8756862459945536E-4</v>
      </c>
      <c r="C64" s="8" t="s">
        <v>89</v>
      </c>
      <c r="D64" s="33" t="s">
        <v>336</v>
      </c>
      <c r="E64" s="13">
        <v>3327.22</v>
      </c>
      <c r="F64" s="13">
        <v>9495.11</v>
      </c>
      <c r="G64" s="13">
        <v>7340.21</v>
      </c>
      <c r="H64" s="13">
        <v>11966.59</v>
      </c>
      <c r="I64" s="13">
        <v>13404.59</v>
      </c>
      <c r="J64" s="12">
        <v>0</v>
      </c>
      <c r="K64" s="7">
        <f>$B64*'Janssen Payments'!I$22</f>
        <v>2545.6325207179002</v>
      </c>
      <c r="L64" s="7">
        <f>$B64*'Janssen Payments'!J$22</f>
        <v>2545.6325146852569</v>
      </c>
      <c r="M64" s="7">
        <f>$B64*'Janssen Payments'!K$22</f>
        <v>2545.6324729929124</v>
      </c>
      <c r="N64" s="7">
        <f>$B64*'Janssen Payments'!L$22</f>
        <v>3241.0354656758368</v>
      </c>
      <c r="O64" s="7">
        <f>$B64*'Janssen Payments'!M$22</f>
        <v>3241.0354717084806</v>
      </c>
      <c r="P64" s="7">
        <f>$B64*'Janssen Payments'!N$22</f>
        <v>3241.0354656758368</v>
      </c>
      <c r="Q64" s="7">
        <f>$B64*'Janssen Payments'!$O$22</f>
        <v>3029.5375845575568</v>
      </c>
      <c r="R64" s="7">
        <v>0</v>
      </c>
      <c r="S64" s="7">
        <f t="shared" si="0"/>
        <v>65923.261496013773</v>
      </c>
    </row>
    <row r="65" spans="1:19" customFormat="1" x14ac:dyDescent="0.35">
      <c r="A65" s="3" t="s">
        <v>90</v>
      </c>
      <c r="B65" s="6">
        <v>1.8441863433863557E-4</v>
      </c>
      <c r="C65" s="8" t="s">
        <v>91</v>
      </c>
      <c r="D65" s="33" t="s">
        <v>336</v>
      </c>
      <c r="E65" s="12">
        <v>621.32000000000005</v>
      </c>
      <c r="F65" s="13">
        <v>1773.12</v>
      </c>
      <c r="G65" s="13">
        <v>1370.71</v>
      </c>
      <c r="H65" s="13">
        <v>2234.64</v>
      </c>
      <c r="I65" s="13">
        <v>2503.17</v>
      </c>
      <c r="J65" s="12">
        <v>0</v>
      </c>
      <c r="K65" s="7">
        <f>$B65*'Janssen Payments'!I$22</f>
        <v>475.37159576046793</v>
      </c>
      <c r="L65" s="7">
        <f>$B65*'Janssen Payments'!J$22</f>
        <v>475.37159463393164</v>
      </c>
      <c r="M65" s="7">
        <f>$B65*'Janssen Payments'!K$22</f>
        <v>475.3715868483003</v>
      </c>
      <c r="N65" s="7">
        <f>$B65*'Janssen Payments'!L$22</f>
        <v>605.23119055695372</v>
      </c>
      <c r="O65" s="7">
        <f>$B65*'Janssen Payments'!M$22</f>
        <v>605.2311916834899</v>
      </c>
      <c r="P65" s="7">
        <f>$B65*'Janssen Payments'!N$22</f>
        <v>605.23119055695372</v>
      </c>
      <c r="Q65" s="7">
        <f>$B65*'Janssen Payments'!$O$22</f>
        <v>565.73606137829245</v>
      </c>
      <c r="R65" s="7">
        <v>0</v>
      </c>
      <c r="S65" s="7">
        <f t="shared" si="0"/>
        <v>12310.504411418386</v>
      </c>
    </row>
    <row r="66" spans="1:19" customFormat="1" x14ac:dyDescent="0.35">
      <c r="A66" s="3" t="s">
        <v>92</v>
      </c>
      <c r="B66" s="6">
        <v>3.801156479165682E-4</v>
      </c>
      <c r="C66" s="8" t="s">
        <v>93</v>
      </c>
      <c r="D66" s="33" t="s">
        <v>336</v>
      </c>
      <c r="E66" s="13">
        <v>1280.6500000000001</v>
      </c>
      <c r="F66" s="13">
        <v>3654.67</v>
      </c>
      <c r="G66" s="13">
        <v>2825.25</v>
      </c>
      <c r="H66" s="13">
        <v>4605.95</v>
      </c>
      <c r="I66" s="13">
        <v>5159.43</v>
      </c>
      <c r="J66" s="12">
        <v>0</v>
      </c>
      <c r="K66" s="7">
        <f>$B66*'Janssen Payments'!I$22</f>
        <v>979.8152056143249</v>
      </c>
      <c r="L66" s="7">
        <f>$B66*'Janssen Payments'!J$22</f>
        <v>979.81520329235752</v>
      </c>
      <c r="M66" s="7">
        <f>$B66*'Janssen Payments'!K$22</f>
        <v>979.81518724495356</v>
      </c>
      <c r="N66" s="7">
        <f>$B66*'Janssen Payments'!L$22</f>
        <v>1247.4761401574669</v>
      </c>
      <c r="O66" s="7">
        <f>$B66*'Janssen Payments'!M$22</f>
        <v>1247.4761424794344</v>
      </c>
      <c r="P66" s="7">
        <f>$B66*'Janssen Payments'!N$22</f>
        <v>1247.4761401574669</v>
      </c>
      <c r="Q66" s="7">
        <f>$B66*'Janssen Payments'!$O$22</f>
        <v>1166.0705019954983</v>
      </c>
      <c r="R66" s="7">
        <v>0</v>
      </c>
      <c r="S66" s="7">
        <f t="shared" si="0"/>
        <v>25373.894520941503</v>
      </c>
    </row>
    <row r="67" spans="1:19" customFormat="1" x14ac:dyDescent="0.35">
      <c r="A67" s="3" t="s">
        <v>94</v>
      </c>
      <c r="B67" s="6">
        <v>2.69750248532E-3</v>
      </c>
      <c r="C67" s="8" t="s">
        <v>94</v>
      </c>
      <c r="D67" s="33" t="s">
        <v>336</v>
      </c>
      <c r="E67" s="13">
        <v>8816.9599999999991</v>
      </c>
      <c r="F67" s="13">
        <v>25161.57</v>
      </c>
      <c r="G67" s="13">
        <v>19451.189999999999</v>
      </c>
      <c r="H67" s="13">
        <v>31710.880000000001</v>
      </c>
      <c r="I67" s="13">
        <v>35521.49</v>
      </c>
      <c r="J67" s="12">
        <v>0</v>
      </c>
      <c r="K67" s="7">
        <f>$B67*'Janssen Payments'!I$22</f>
        <v>6953.2889971398745</v>
      </c>
      <c r="L67" s="7">
        <f>$B67*'Janssen Payments'!J$22</f>
        <v>6953.2889806619605</v>
      </c>
      <c r="M67" s="7">
        <f>$B67*'Janssen Payments'!K$22</f>
        <v>6953.2888667810612</v>
      </c>
      <c r="N67" s="7">
        <f>$B67*'Janssen Payments'!L$22</f>
        <v>8852.7531210469115</v>
      </c>
      <c r="O67" s="7">
        <f>$B67*'Janssen Payments'!M$22</f>
        <v>8852.7531375248254</v>
      </c>
      <c r="P67" s="7">
        <f>$B67*'Janssen Payments'!N$22</f>
        <v>8852.7531210469115</v>
      </c>
      <c r="Q67" s="7">
        <f>$B67*'Janssen Payments'!$O$22</f>
        <v>8275.0554849075816</v>
      </c>
      <c r="R67" s="7">
        <v>0</v>
      </c>
      <c r="S67" s="7">
        <f t="shared" si="0"/>
        <v>176355.27170910907</v>
      </c>
    </row>
    <row r="68" spans="1:19" customFormat="1" x14ac:dyDescent="0.35">
      <c r="A68" s="3" t="s">
        <v>22</v>
      </c>
      <c r="B68" s="6">
        <v>7.3863551292320001E-2</v>
      </c>
      <c r="C68" s="8" t="s">
        <v>95</v>
      </c>
      <c r="D68" s="33" t="s">
        <v>336</v>
      </c>
      <c r="E68" s="13">
        <v>241427.65</v>
      </c>
      <c r="F68" s="13">
        <v>688979.16</v>
      </c>
      <c r="G68" s="13">
        <v>532616.24</v>
      </c>
      <c r="H68" s="13">
        <v>868313.66</v>
      </c>
      <c r="I68" s="13">
        <v>972656.42</v>
      </c>
      <c r="J68" s="12">
        <v>0</v>
      </c>
      <c r="K68" s="7">
        <f>$B68*'Janssen Payments'!I$22</f>
        <v>190396.34672649379</v>
      </c>
      <c r="L68" s="7">
        <f>$B68*'Janssen Payments'!J$22</f>
        <v>190396.34627529225</v>
      </c>
      <c r="M68" s="7">
        <f>$B68*'Janssen Payments'!K$22</f>
        <v>190396.34315698277</v>
      </c>
      <c r="N68" s="7">
        <f>$B68*'Janssen Payments'!L$22</f>
        <v>242407.85237205221</v>
      </c>
      <c r="O68" s="7">
        <f>$B68*'Janssen Payments'!M$22</f>
        <v>242407.85282325372</v>
      </c>
      <c r="P68" s="7">
        <f>$B68*'Janssen Payments'!N$22</f>
        <v>242407.85237205221</v>
      </c>
      <c r="Q68" s="7">
        <f>$B68*'Janssen Payments'!$O$22</f>
        <v>226589.22042985866</v>
      </c>
      <c r="R68" s="7">
        <v>0</v>
      </c>
      <c r="S68" s="7">
        <f t="shared" ref="S68:S131" si="1">SUM(E68:R68)</f>
        <v>4828994.9441559855</v>
      </c>
    </row>
    <row r="69" spans="1:19" customFormat="1" x14ac:dyDescent="0.35">
      <c r="A69" s="3" t="s">
        <v>22</v>
      </c>
      <c r="B69" s="6">
        <v>0</v>
      </c>
      <c r="C69" s="8" t="s">
        <v>96</v>
      </c>
      <c r="D69" s="8" t="s">
        <v>336</v>
      </c>
      <c r="E69" s="13">
        <v>0</v>
      </c>
      <c r="F69" s="13">
        <v>0</v>
      </c>
      <c r="G69" s="13">
        <v>0</v>
      </c>
      <c r="H69" s="13">
        <v>0</v>
      </c>
      <c r="I69" s="13">
        <v>0</v>
      </c>
      <c r="J69" s="12">
        <v>0</v>
      </c>
      <c r="K69" s="7">
        <f>$B69*'Janssen Payments'!I$22</f>
        <v>0</v>
      </c>
      <c r="L69" s="7">
        <f>$B69*'Janssen Payments'!J$22</f>
        <v>0</v>
      </c>
      <c r="M69" s="7">
        <f>$B69*'Janssen Payments'!K$22</f>
        <v>0</v>
      </c>
      <c r="N69" s="7">
        <f>$B69*'Janssen Payments'!L$22</f>
        <v>0</v>
      </c>
      <c r="O69" s="7">
        <f>$B69*'Janssen Payments'!M$22</f>
        <v>0</v>
      </c>
      <c r="P69" s="7">
        <f>$B69*'Janssen Payments'!N$22</f>
        <v>0</v>
      </c>
      <c r="Q69" s="7">
        <f>$B69*'Janssen Payments'!$O$22</f>
        <v>0</v>
      </c>
      <c r="R69" s="7">
        <v>0</v>
      </c>
      <c r="S69" s="7">
        <f t="shared" si="1"/>
        <v>0</v>
      </c>
    </row>
    <row r="70" spans="1:19" customFormat="1" x14ac:dyDescent="0.35">
      <c r="A70" s="3" t="s">
        <v>40</v>
      </c>
      <c r="B70" s="6">
        <v>3.4465051800101594E-4</v>
      </c>
      <c r="C70" s="8" t="s">
        <v>97</v>
      </c>
      <c r="D70" s="33" t="s">
        <v>336</v>
      </c>
      <c r="E70" s="13">
        <v>1161.1600000000001</v>
      </c>
      <c r="F70" s="13">
        <v>3313.69</v>
      </c>
      <c r="G70" s="13">
        <v>2561.65</v>
      </c>
      <c r="H70" s="13">
        <v>4176.21</v>
      </c>
      <c r="I70" s="13">
        <v>4678.05</v>
      </c>
      <c r="J70" s="12">
        <v>0</v>
      </c>
      <c r="K70" s="7">
        <f>$B70*'Janssen Payments'!I$22</f>
        <v>888.39757061085163</v>
      </c>
      <c r="L70" s="7">
        <f>$B70*'Janssen Payments'!J$22</f>
        <v>888.3975685055259</v>
      </c>
      <c r="M70" s="7">
        <f>$B70*'Janssen Payments'!K$22</f>
        <v>888.39755395535906</v>
      </c>
      <c r="N70" s="7">
        <f>$B70*'Janssen Payments'!L$22</f>
        <v>1131.0855005725716</v>
      </c>
      <c r="O70" s="7">
        <f>$B70*'Janssen Payments'!M$22</f>
        <v>1131.0855026778975</v>
      </c>
      <c r="P70" s="7">
        <f>$B70*'Janssen Payments'!N$22</f>
        <v>1131.0855005725716</v>
      </c>
      <c r="Q70" s="7">
        <f>$B70*'Janssen Payments'!$O$22</f>
        <v>1057.2750812580689</v>
      </c>
      <c r="R70" s="7">
        <v>0</v>
      </c>
      <c r="S70" s="7">
        <f t="shared" si="1"/>
        <v>23006.484278152842</v>
      </c>
    </row>
    <row r="71" spans="1:19" customFormat="1" x14ac:dyDescent="0.35">
      <c r="A71" s="3" t="s">
        <v>98</v>
      </c>
      <c r="B71" s="6">
        <v>2.7729291699199999E-3</v>
      </c>
      <c r="C71" s="8" t="s">
        <v>98</v>
      </c>
      <c r="D71" s="33" t="s">
        <v>336</v>
      </c>
      <c r="E71" s="13">
        <v>9063.49</v>
      </c>
      <c r="F71" s="13">
        <v>25865.13</v>
      </c>
      <c r="G71" s="13">
        <v>19995.07</v>
      </c>
      <c r="H71" s="13">
        <v>32597.57</v>
      </c>
      <c r="I71" s="13">
        <v>36514.730000000003</v>
      </c>
      <c r="J71" s="12">
        <v>0</v>
      </c>
      <c r="K71" s="7">
        <f>$B71*'Janssen Payments'!I$22</f>
        <v>7147.7145959944028</v>
      </c>
      <c r="L71" s="7">
        <f>$B71*'Janssen Payments'!J$22</f>
        <v>7147.7145790557388</v>
      </c>
      <c r="M71" s="7">
        <f>$B71*'Janssen Payments'!K$22</f>
        <v>7147.7144619905393</v>
      </c>
      <c r="N71" s="7">
        <f>$B71*'Janssen Payments'!L$22</f>
        <v>9100.2909161506141</v>
      </c>
      <c r="O71" s="7">
        <f>$B71*'Janssen Payments'!M$22</f>
        <v>9100.290933089278</v>
      </c>
      <c r="P71" s="7">
        <f>$B71*'Janssen Payments'!N$22</f>
        <v>9100.2909161506141</v>
      </c>
      <c r="Q71" s="7">
        <f>$B71*'Janssen Payments'!$O$22</f>
        <v>8506.4398871479298</v>
      </c>
      <c r="R71" s="7">
        <v>0</v>
      </c>
      <c r="S71" s="7">
        <f t="shared" si="1"/>
        <v>181286.44628957912</v>
      </c>
    </row>
    <row r="72" spans="1:19" customFormat="1" x14ac:dyDescent="0.35">
      <c r="A72" s="3" t="s">
        <v>99</v>
      </c>
      <c r="B72" s="6">
        <v>1.3728559521271894E-5</v>
      </c>
      <c r="C72" s="8" t="s">
        <v>100</v>
      </c>
      <c r="D72" s="33" t="s">
        <v>338</v>
      </c>
      <c r="E72" s="12">
        <f>46.25+339.14</f>
        <v>385.39</v>
      </c>
      <c r="F72" s="12">
        <v>132</v>
      </c>
      <c r="G72" s="12">
        <v>102.04</v>
      </c>
      <c r="H72" s="12">
        <v>166.35</v>
      </c>
      <c r="I72" s="12">
        <v>186.34</v>
      </c>
      <c r="J72" s="12">
        <v>0</v>
      </c>
      <c r="K72" s="51">
        <f>$B72*'Janssen Payments'!I$22</f>
        <v>35.387786437763239</v>
      </c>
      <c r="L72" s="51">
        <f>$B72*'Janssen Payments'!J$22</f>
        <v>35.387786353901213</v>
      </c>
      <c r="M72" s="51">
        <f>$B72*'Janssen Payments'!K$22</f>
        <v>35.387785774320392</v>
      </c>
      <c r="N72" s="51">
        <f>$B72*'Janssen Payments'!L$22</f>
        <v>45.054841955039201</v>
      </c>
      <c r="O72" s="51">
        <f>$B72*'Janssen Payments'!M$22</f>
        <v>45.054842038901228</v>
      </c>
      <c r="P72" s="51">
        <f>$B72*'Janssen Payments'!N$22</f>
        <v>45.054841955039201</v>
      </c>
      <c r="Q72" s="51">
        <f>$B72*'Janssen Payments'!$O$22</f>
        <v>42.114731083520937</v>
      </c>
      <c r="R72" s="7">
        <v>0</v>
      </c>
      <c r="S72" s="7">
        <f>E72+F72+G72+H72+I72</f>
        <v>972.12</v>
      </c>
    </row>
    <row r="73" spans="1:19" customFormat="1" x14ac:dyDescent="0.35">
      <c r="A73" s="3" t="s">
        <v>14</v>
      </c>
      <c r="B73" s="6">
        <v>1.9435501302984649E-4</v>
      </c>
      <c r="C73" s="8" t="s">
        <v>101</v>
      </c>
      <c r="D73" s="33" t="s">
        <v>336</v>
      </c>
      <c r="E73" s="12">
        <v>654.79999999999995</v>
      </c>
      <c r="F73" s="13">
        <v>1868.65</v>
      </c>
      <c r="G73" s="13">
        <v>1444.56</v>
      </c>
      <c r="H73" s="13">
        <v>2355.04</v>
      </c>
      <c r="I73" s="13">
        <v>2638.04</v>
      </c>
      <c r="J73" s="12">
        <v>0</v>
      </c>
      <c r="K73" s="7">
        <f>$B73*'Janssen Payments'!I$22</f>
        <v>500.98436646262945</v>
      </c>
      <c r="L73" s="7">
        <f>$B73*'Janssen Payments'!J$22</f>
        <v>500.98436527539599</v>
      </c>
      <c r="M73" s="7">
        <f>$B73*'Janssen Payments'!K$22</f>
        <v>500.98435707027897</v>
      </c>
      <c r="N73" s="7">
        <f>$B73*'Janssen Payments'!L$22</f>
        <v>637.84072769333432</v>
      </c>
      <c r="O73" s="7">
        <f>$B73*'Janssen Payments'!M$22</f>
        <v>637.84072888056778</v>
      </c>
      <c r="P73" s="7">
        <f>$B73*'Janssen Payments'!N$22</f>
        <v>637.84072769333432</v>
      </c>
      <c r="Q73" s="7">
        <f>$B73*'Janssen Payments'!$O$22</f>
        <v>596.21762179808559</v>
      </c>
      <c r="R73" s="7">
        <v>0</v>
      </c>
      <c r="S73" s="7">
        <f t="shared" si="1"/>
        <v>12973.782894873626</v>
      </c>
    </row>
    <row r="74" spans="1:19" customFormat="1" x14ac:dyDescent="0.35">
      <c r="A74" s="3" t="s">
        <v>102</v>
      </c>
      <c r="B74" s="6">
        <v>1.9287731411200004E-3</v>
      </c>
      <c r="C74" s="8" t="s">
        <v>103</v>
      </c>
      <c r="D74" s="33" t="s">
        <v>336</v>
      </c>
      <c r="E74" s="13">
        <v>6304.32</v>
      </c>
      <c r="F74" s="13">
        <v>17991.07</v>
      </c>
      <c r="G74" s="13">
        <v>13908.02</v>
      </c>
      <c r="H74" s="13">
        <v>22673.97</v>
      </c>
      <c r="I74" s="13">
        <v>25398.639999999999</v>
      </c>
      <c r="J74" s="12">
        <v>0</v>
      </c>
      <c r="K74" s="7">
        <f>$B74*'Janssen Payments'!I$22</f>
        <v>4971.7533656090973</v>
      </c>
      <c r="L74" s="7">
        <f>$B74*'Janssen Payments'!J$22</f>
        <v>4971.7533538270291</v>
      </c>
      <c r="M74" s="7">
        <f>$B74*'Janssen Payments'!K$22</f>
        <v>4971.753272399701</v>
      </c>
      <c r="N74" s="7">
        <f>$B74*'Janssen Payments'!L$22</f>
        <v>6329.9116637573607</v>
      </c>
      <c r="O74" s="7">
        <f>$B74*'Janssen Payments'!M$22</f>
        <v>6329.9116755394289</v>
      </c>
      <c r="P74" s="7">
        <f>$B74*'Janssen Payments'!N$22</f>
        <v>6329.9116637573607</v>
      </c>
      <c r="Q74" s="7">
        <f>$B74*'Janssen Payments'!$O$22</f>
        <v>5916.8452475676195</v>
      </c>
      <c r="R74" s="7">
        <v>0</v>
      </c>
      <c r="S74" s="7">
        <f t="shared" si="1"/>
        <v>126097.86024245761</v>
      </c>
    </row>
    <row r="75" spans="1:19" customFormat="1" x14ac:dyDescent="0.35">
      <c r="A75" s="3" t="s">
        <v>75</v>
      </c>
      <c r="B75" s="6">
        <v>1.5721028667612497E-3</v>
      </c>
      <c r="C75" s="8" t="s">
        <v>104</v>
      </c>
      <c r="D75" s="33" t="s">
        <v>336</v>
      </c>
      <c r="E75" s="13">
        <v>5296.57</v>
      </c>
      <c r="F75" s="13">
        <v>15115.19</v>
      </c>
      <c r="G75" s="13">
        <v>11684.82</v>
      </c>
      <c r="H75" s="13">
        <v>19049.53</v>
      </c>
      <c r="I75" s="13">
        <v>21338.66</v>
      </c>
      <c r="J75" s="12">
        <v>0</v>
      </c>
      <c r="K75" s="7">
        <f>$B75*'Janssen Payments'!I$22</f>
        <v>4052.3727504652484</v>
      </c>
      <c r="L75" s="7">
        <f>$B75*'Janssen Payments'!J$22</f>
        <v>4052.3727408619302</v>
      </c>
      <c r="M75" s="7">
        <f>$B75*'Janssen Payments'!K$22</f>
        <v>4052.3726744922087</v>
      </c>
      <c r="N75" s="7">
        <f>$B75*'Janssen Payments'!L$22</f>
        <v>5159.3793281256039</v>
      </c>
      <c r="O75" s="7">
        <f>$B75*'Janssen Payments'!M$22</f>
        <v>5159.379337728923</v>
      </c>
      <c r="P75" s="7">
        <f>$B75*'Janssen Payments'!N$22</f>
        <v>5159.3793281256039</v>
      </c>
      <c r="Q75" s="7">
        <f>$B75*'Janssen Payments'!$O$22</f>
        <v>4822.6974845171826</v>
      </c>
      <c r="R75" s="7">
        <v>0</v>
      </c>
      <c r="S75" s="7">
        <f t="shared" si="1"/>
        <v>104942.72364431671</v>
      </c>
    </row>
    <row r="76" spans="1:19" customFormat="1" x14ac:dyDescent="0.35">
      <c r="A76" s="3" t="s">
        <v>92</v>
      </c>
      <c r="B76" s="6">
        <v>1.0040382409120001E-2</v>
      </c>
      <c r="C76" s="8" t="s">
        <v>92</v>
      </c>
      <c r="D76" s="33" t="s">
        <v>336</v>
      </c>
      <c r="E76" s="13">
        <v>32817.620000000003</v>
      </c>
      <c r="F76" s="13">
        <v>93653.96</v>
      </c>
      <c r="G76" s="13">
        <v>72399.320000000007</v>
      </c>
      <c r="H76" s="13">
        <v>118031.17</v>
      </c>
      <c r="I76" s="13">
        <v>132214.63</v>
      </c>
      <c r="J76" s="12">
        <v>0</v>
      </c>
      <c r="K76" s="7">
        <f>$B76*'Janssen Payments'!I$22</f>
        <v>25880.858650674782</v>
      </c>
      <c r="L76" s="7">
        <f>$B76*'Janssen Payments'!J$22</f>
        <v>25880.85858934229</v>
      </c>
      <c r="M76" s="7">
        <f>$B76*'Janssen Payments'!K$22</f>
        <v>25880.858165465837</v>
      </c>
      <c r="N76" s="7">
        <f>$B76*'Janssen Payments'!L$22</f>
        <v>32950.859987177108</v>
      </c>
      <c r="O76" s="7">
        <f>$B76*'Janssen Payments'!M$22</f>
        <v>32950.860048509603</v>
      </c>
      <c r="P76" s="7">
        <f>$B76*'Janssen Payments'!N$22</f>
        <v>32950.859987177108</v>
      </c>
      <c r="Q76" s="7">
        <f>$B76*'Janssen Payments'!$O$22</f>
        <v>30800.609814934742</v>
      </c>
      <c r="R76" s="7">
        <v>0</v>
      </c>
      <c r="S76" s="7">
        <f t="shared" si="1"/>
        <v>656412.46524328133</v>
      </c>
    </row>
    <row r="77" spans="1:19" customFormat="1" x14ac:dyDescent="0.35">
      <c r="A77" s="3" t="s">
        <v>105</v>
      </c>
      <c r="B77" s="6">
        <v>5.5491843949711542E-5</v>
      </c>
      <c r="C77" s="8" t="s">
        <v>106</v>
      </c>
      <c r="D77" s="33" t="s">
        <v>336</v>
      </c>
      <c r="E77" s="12">
        <v>186.96</v>
      </c>
      <c r="F77" s="12">
        <v>533.53</v>
      </c>
      <c r="G77" s="12">
        <v>412.45</v>
      </c>
      <c r="H77" s="12">
        <v>672.41</v>
      </c>
      <c r="I77" s="12">
        <v>753.21</v>
      </c>
      <c r="J77" s="12">
        <v>0</v>
      </c>
      <c r="K77" s="7">
        <f>$B77*'Janssen Payments'!I$22</f>
        <v>143.04002686424195</v>
      </c>
      <c r="L77" s="7">
        <f>$B77*'Janssen Payments'!J$22</f>
        <v>143.04002652526549</v>
      </c>
      <c r="M77" s="7">
        <f>$B77*'Janssen Payments'!K$22</f>
        <v>143.04002418255732</v>
      </c>
      <c r="N77" s="7">
        <f>$B77*'Janssen Payments'!L$22</f>
        <v>182.11497390341799</v>
      </c>
      <c r="O77" s="7">
        <f>$B77*'Janssen Payments'!M$22</f>
        <v>182.11497424239445</v>
      </c>
      <c r="P77" s="7">
        <f>$B77*'Janssen Payments'!N$22</f>
        <v>182.11497390341799</v>
      </c>
      <c r="Q77" s="7">
        <f>$B77*'Janssen Payments'!$O$22</f>
        <v>170.23083023748251</v>
      </c>
      <c r="R77" s="7">
        <v>0</v>
      </c>
      <c r="S77" s="7">
        <f t="shared" si="1"/>
        <v>3704.2558298587783</v>
      </c>
    </row>
    <row r="78" spans="1:19" customFormat="1" x14ac:dyDescent="0.35">
      <c r="A78" s="3" t="s">
        <v>107</v>
      </c>
      <c r="B78" s="6">
        <v>1.6995833481015016E-3</v>
      </c>
      <c r="C78" s="8" t="s">
        <v>107</v>
      </c>
      <c r="D78" s="33" t="s">
        <v>336</v>
      </c>
      <c r="E78" s="13">
        <v>5726.06</v>
      </c>
      <c r="F78" s="13">
        <v>16340.87</v>
      </c>
      <c r="G78" s="13">
        <v>12632.33</v>
      </c>
      <c r="H78" s="13">
        <v>20594.240000000002</v>
      </c>
      <c r="I78" s="13">
        <v>23068.99</v>
      </c>
      <c r="J78" s="12">
        <v>0</v>
      </c>
      <c r="K78" s="7">
        <f>$B78*'Janssen Payments'!I$22</f>
        <v>4380.9762023905632</v>
      </c>
      <c r="L78" s="7">
        <f>$B78*'Janssen Payments'!J$22</f>
        <v>4380.9761920085202</v>
      </c>
      <c r="M78" s="7">
        <f>$B78*'Janssen Payments'!K$22</f>
        <v>4380.9761202569343</v>
      </c>
      <c r="N78" s="7">
        <f>$B78*'Janssen Payments'!L$22</f>
        <v>5577.7489997752673</v>
      </c>
      <c r="O78" s="7">
        <f>$B78*'Janssen Payments'!M$22</f>
        <v>5577.7490101573103</v>
      </c>
      <c r="P78" s="7">
        <f>$B78*'Janssen Payments'!N$22</f>
        <v>5577.7489997752673</v>
      </c>
      <c r="Q78" s="7">
        <f>$B78*'Janssen Payments'!$O$22</f>
        <v>5213.7659124701477</v>
      </c>
      <c r="R78" s="7">
        <v>0</v>
      </c>
      <c r="S78" s="7">
        <f t="shared" si="1"/>
        <v>113452.43143683401</v>
      </c>
    </row>
    <row r="79" spans="1:19" customFormat="1" x14ac:dyDescent="0.35">
      <c r="A79" s="3" t="s">
        <v>42</v>
      </c>
      <c r="B79" s="6">
        <v>7.6288033195954122E-5</v>
      </c>
      <c r="C79" s="8" t="s">
        <v>108</v>
      </c>
      <c r="D79" s="33" t="s">
        <v>336</v>
      </c>
      <c r="E79" s="12">
        <v>257.02</v>
      </c>
      <c r="F79" s="12">
        <v>733.48</v>
      </c>
      <c r="G79" s="12">
        <v>567.02</v>
      </c>
      <c r="H79" s="12">
        <v>924.4</v>
      </c>
      <c r="I79" s="13">
        <v>1035.48</v>
      </c>
      <c r="J79" s="12">
        <v>0</v>
      </c>
      <c r="K79" s="7">
        <f>$B79*'Janssen Payments'!I$22</f>
        <v>196.64587696272045</v>
      </c>
      <c r="L79" s="7">
        <f>$B79*'Janssen Payments'!J$22</f>
        <v>196.64587649670878</v>
      </c>
      <c r="M79" s="7">
        <f>$B79*'Janssen Payments'!K$22</f>
        <v>196.64587327604451</v>
      </c>
      <c r="N79" s="7">
        <f>$B79*'Janssen Payments'!L$22</f>
        <v>250.36459749318695</v>
      </c>
      <c r="O79" s="7">
        <f>$B79*'Janssen Payments'!M$22</f>
        <v>250.36459795919862</v>
      </c>
      <c r="P79" s="7">
        <f>$B79*'Janssen Payments'!N$22</f>
        <v>250.36459749318695</v>
      </c>
      <c r="Q79" s="7">
        <f>$B79*'Janssen Payments'!$O$22</f>
        <v>234.02673805362713</v>
      </c>
      <c r="R79" s="7">
        <v>0</v>
      </c>
      <c r="S79" s="7">
        <f t="shared" si="1"/>
        <v>5092.4581577346735</v>
      </c>
    </row>
    <row r="80" spans="1:19" customFormat="1" x14ac:dyDescent="0.35">
      <c r="A80" s="3" t="s">
        <v>94</v>
      </c>
      <c r="B80" s="6">
        <v>1.8748587811999998E-4</v>
      </c>
      <c r="C80" s="8" t="s">
        <v>109</v>
      </c>
      <c r="D80" s="33" t="s">
        <v>336</v>
      </c>
      <c r="E80" s="12">
        <v>612.80999999999995</v>
      </c>
      <c r="F80" s="13">
        <v>1748.82</v>
      </c>
      <c r="G80" s="13">
        <v>1351.93</v>
      </c>
      <c r="H80" s="13">
        <v>2204.02</v>
      </c>
      <c r="I80" s="13">
        <v>2468.87</v>
      </c>
      <c r="J80" s="12">
        <v>0</v>
      </c>
      <c r="K80" s="7">
        <f>$B80*'Janssen Payments'!I$22</f>
        <v>483.27795823930614</v>
      </c>
      <c r="L80" s="7">
        <f>$B80*'Janssen Payments'!J$22</f>
        <v>483.27795709403335</v>
      </c>
      <c r="M80" s="7">
        <f>$B80*'Janssen Payments'!K$22</f>
        <v>483.27794917891168</v>
      </c>
      <c r="N80" s="7">
        <f>$B80*'Janssen Payments'!L$22</f>
        <v>615.29737292611071</v>
      </c>
      <c r="O80" s="7">
        <f>$B80*'Janssen Payments'!M$22</f>
        <v>615.2973740713835</v>
      </c>
      <c r="P80" s="7">
        <f>$B80*'Janssen Payments'!N$22</f>
        <v>615.29737292611071</v>
      </c>
      <c r="Q80" s="7">
        <f>$B80*'Janssen Payments'!$O$22</f>
        <v>575.14536224628296</v>
      </c>
      <c r="R80" s="7">
        <v>0</v>
      </c>
      <c r="S80" s="7">
        <f t="shared" si="1"/>
        <v>12257.32134668214</v>
      </c>
    </row>
    <row r="81" spans="1:19" customFormat="1" x14ac:dyDescent="0.35">
      <c r="A81" s="3" t="s">
        <v>34</v>
      </c>
      <c r="B81" s="6">
        <v>2.0643995461205113E-4</v>
      </c>
      <c r="C81" s="8" t="s">
        <v>110</v>
      </c>
      <c r="D81" s="33" t="s">
        <v>336</v>
      </c>
      <c r="E81" s="12">
        <v>695.52</v>
      </c>
      <c r="F81" s="13">
        <v>1984.84</v>
      </c>
      <c r="G81" s="13">
        <v>1534.39</v>
      </c>
      <c r="H81" s="13">
        <v>2501.48</v>
      </c>
      <c r="I81" s="13">
        <v>2802.08</v>
      </c>
      <c r="J81" s="12">
        <v>0</v>
      </c>
      <c r="K81" s="7">
        <f>$B81*'Janssen Payments'!I$22</f>
        <v>532.13543742249669</v>
      </c>
      <c r="L81" s="7">
        <f>$B81*'Janssen Payments'!J$22</f>
        <v>532.13543616144148</v>
      </c>
      <c r="M81" s="7">
        <f>$B81*'Janssen Payments'!K$22</f>
        <v>532.13542744613244</v>
      </c>
      <c r="N81" s="7">
        <f>$B81*'Janssen Payments'!L$22</f>
        <v>677.5014897841022</v>
      </c>
      <c r="O81" s="7">
        <f>$B81*'Janssen Payments'!M$22</f>
        <v>677.50149104515754</v>
      </c>
      <c r="P81" s="7">
        <f>$B81*'Janssen Payments'!N$22</f>
        <v>677.5014897841022</v>
      </c>
      <c r="Q81" s="7">
        <f>$B81*'Janssen Payments'!$O$22</f>
        <v>633.29027054218739</v>
      </c>
      <c r="R81" s="7">
        <v>0</v>
      </c>
      <c r="S81" s="7">
        <f t="shared" si="1"/>
        <v>13780.511042185621</v>
      </c>
    </row>
    <row r="82" spans="1:19" customFormat="1" x14ac:dyDescent="0.35">
      <c r="A82" s="3" t="s">
        <v>34</v>
      </c>
      <c r="B82" s="6">
        <v>1.5476762894821954E-3</v>
      </c>
      <c r="C82" s="8" t="s">
        <v>111</v>
      </c>
      <c r="D82" s="33" t="s">
        <v>336</v>
      </c>
      <c r="E82" s="13">
        <v>5214.2700000000004</v>
      </c>
      <c r="F82" s="13">
        <v>14880.34</v>
      </c>
      <c r="G82" s="13">
        <v>11503.27</v>
      </c>
      <c r="H82" s="13">
        <v>18753.55</v>
      </c>
      <c r="I82" s="13">
        <v>21007.11</v>
      </c>
      <c r="J82" s="12">
        <v>0</v>
      </c>
      <c r="K82" s="7">
        <f>$B82*'Janssen Payments'!I$22</f>
        <v>3989.4089341364243</v>
      </c>
      <c r="L82" s="7">
        <f>$B82*'Janssen Payments'!J$22</f>
        <v>3989.4089246823173</v>
      </c>
      <c r="M82" s="7">
        <f>$B82*'Janssen Payments'!K$22</f>
        <v>3989.4088593438169</v>
      </c>
      <c r="N82" s="7">
        <f>$B82*'Janssen Payments'!L$22</f>
        <v>5079.2153766851707</v>
      </c>
      <c r="O82" s="7">
        <f>$B82*'Janssen Payments'!M$22</f>
        <v>5079.2153861392771</v>
      </c>
      <c r="P82" s="7">
        <f>$B82*'Janssen Payments'!N$22</f>
        <v>5079.2153766851707</v>
      </c>
      <c r="Q82" s="7">
        <f>$B82*'Janssen Payments'!$O$22</f>
        <v>4747.7647334296225</v>
      </c>
      <c r="R82" s="7">
        <v>0</v>
      </c>
      <c r="S82" s="7">
        <f t="shared" si="1"/>
        <v>103312.1775911018</v>
      </c>
    </row>
    <row r="83" spans="1:19" customFormat="1" x14ac:dyDescent="0.35">
      <c r="A83" s="3" t="s">
        <v>63</v>
      </c>
      <c r="B83" s="6">
        <v>1.7365497184961723E-5</v>
      </c>
      <c r="C83" s="8" t="s">
        <v>112</v>
      </c>
      <c r="D83" s="33" t="s">
        <v>338</v>
      </c>
      <c r="E83" s="12">
        <f>58.51+428.98</f>
        <v>487.49</v>
      </c>
      <c r="F83" s="12">
        <v>166.96</v>
      </c>
      <c r="G83" s="12">
        <v>129.07</v>
      </c>
      <c r="H83" s="12">
        <v>210.42</v>
      </c>
      <c r="I83" s="12">
        <v>235.71</v>
      </c>
      <c r="J83" s="12">
        <v>0</v>
      </c>
      <c r="K83" s="51">
        <f>$B83*'Janssen Payments'!I$22</f>
        <v>44.762635498270456</v>
      </c>
      <c r="L83" s="51">
        <f>$B83*'Janssen Payments'!J$22</f>
        <v>44.762635392191903</v>
      </c>
      <c r="M83" s="51">
        <f>$B83*'Janssen Payments'!K$22</f>
        <v>44.762634659069896</v>
      </c>
      <c r="N83" s="51">
        <f>$B83*'Janssen Payments'!L$22</f>
        <v>56.990664601543166</v>
      </c>
      <c r="O83" s="51">
        <f>$B83*'Janssen Payments'!M$22</f>
        <v>56.990664707621725</v>
      </c>
      <c r="P83" s="51">
        <f>$B83*'Janssen Payments'!N$22</f>
        <v>56.990664601543166</v>
      </c>
      <c r="Q83" s="51">
        <f>$B83*'Janssen Payments'!$O$22</f>
        <v>53.271666480602974</v>
      </c>
      <c r="R83" s="7">
        <v>0</v>
      </c>
      <c r="S83" s="7">
        <f>E83+F83+G83+H83+I83</f>
        <v>1229.6499999999999</v>
      </c>
    </row>
    <row r="84" spans="1:19" customFormat="1" x14ac:dyDescent="0.35">
      <c r="A84" s="3" t="s">
        <v>113</v>
      </c>
      <c r="B84" s="6">
        <v>4.4954056800838708E-4</v>
      </c>
      <c r="C84" s="8" t="s">
        <v>114</v>
      </c>
      <c r="D84" s="33" t="s">
        <v>336</v>
      </c>
      <c r="E84" s="13">
        <v>1514.55</v>
      </c>
      <c r="F84" s="13">
        <v>4322.17</v>
      </c>
      <c r="G84" s="13">
        <v>3341.26</v>
      </c>
      <c r="H84" s="13">
        <v>5447.19</v>
      </c>
      <c r="I84" s="13">
        <v>6101.76</v>
      </c>
      <c r="J84" s="12">
        <v>0</v>
      </c>
      <c r="K84" s="7">
        <f>$B84*'Janssen Payments'!I$22</f>
        <v>1158.7701966213094</v>
      </c>
      <c r="L84" s="7">
        <f>$B84*'Janssen Payments'!J$22</f>
        <v>1158.7701938752543</v>
      </c>
      <c r="M84" s="7">
        <f>$B84*'Janssen Payments'!K$22</f>
        <v>1158.7701748969273</v>
      </c>
      <c r="N84" s="7">
        <f>$B84*'Janssen Payments'!L$22</f>
        <v>1475.3171454451315</v>
      </c>
      <c r="O84" s="7">
        <f>$B84*'Janssen Payments'!M$22</f>
        <v>1475.3171481911866</v>
      </c>
      <c r="P84" s="7">
        <f>$B84*'Janssen Payments'!N$22</f>
        <v>1475.3171454451315</v>
      </c>
      <c r="Q84" s="7">
        <f>$B84*'Janssen Payments'!$O$22</f>
        <v>1379.043453427988</v>
      </c>
      <c r="R84" s="7">
        <v>0</v>
      </c>
      <c r="S84" s="7">
        <f t="shared" si="1"/>
        <v>30008.235457902931</v>
      </c>
    </row>
    <row r="85" spans="1:19" customFormat="1" x14ac:dyDescent="0.35">
      <c r="A85" s="3" t="s">
        <v>34</v>
      </c>
      <c r="B85" s="6">
        <v>8.3526623913208629E-4</v>
      </c>
      <c r="C85" s="8" t="s">
        <v>115</v>
      </c>
      <c r="D85" s="33" t="s">
        <v>336</v>
      </c>
      <c r="E85" s="13">
        <v>2814.09</v>
      </c>
      <c r="F85" s="13">
        <v>8030.78</v>
      </c>
      <c r="G85" s="13">
        <v>6208.2</v>
      </c>
      <c r="H85" s="13">
        <v>10121.11</v>
      </c>
      <c r="I85" s="13">
        <v>11337.34</v>
      </c>
      <c r="J85" s="12">
        <v>0</v>
      </c>
      <c r="K85" s="7">
        <f>$B85*'Janssen Payments'!I$22</f>
        <v>2153.0462277036845</v>
      </c>
      <c r="L85" s="7">
        <f>$B85*'Janssen Payments'!J$22</f>
        <v>2153.0462226013924</v>
      </c>
      <c r="M85" s="7">
        <f>$B85*'Janssen Payments'!K$22</f>
        <v>2153.0461873388222</v>
      </c>
      <c r="N85" s="7">
        <f>$B85*'Janssen Payments'!L$22</f>
        <v>2741.2044458244518</v>
      </c>
      <c r="O85" s="7">
        <f>$B85*'Janssen Payments'!M$22</f>
        <v>2741.2044509267439</v>
      </c>
      <c r="P85" s="7">
        <f>$B85*'Janssen Payments'!N$22</f>
        <v>2741.2044458244518</v>
      </c>
      <c r="Q85" s="7">
        <f>$B85*'Janssen Payments'!$O$22</f>
        <v>2562.3236720273694</v>
      </c>
      <c r="R85" s="7">
        <v>0</v>
      </c>
      <c r="S85" s="7">
        <f t="shared" si="1"/>
        <v>55756.595652246913</v>
      </c>
    </row>
    <row r="86" spans="1:19" customFormat="1" x14ac:dyDescent="0.35">
      <c r="A86" s="3" t="s">
        <v>116</v>
      </c>
      <c r="B86" s="6">
        <v>1.6101293862633693E-4</v>
      </c>
      <c r="C86" s="8" t="s">
        <v>117</v>
      </c>
      <c r="D86" s="33" t="s">
        <v>336</v>
      </c>
      <c r="E86" s="12">
        <v>542.47</v>
      </c>
      <c r="F86" s="13">
        <v>1548.08</v>
      </c>
      <c r="G86" s="13">
        <v>1196.75</v>
      </c>
      <c r="H86" s="13">
        <v>1951.03</v>
      </c>
      <c r="I86" s="13">
        <v>2185.48</v>
      </c>
      <c r="J86" s="12">
        <v>0</v>
      </c>
      <c r="K86" s="7">
        <f>$B86*'Janssen Payments'!I$22</f>
        <v>415.03928194336919</v>
      </c>
      <c r="L86" s="7">
        <f>$B86*'Janssen Payments'!J$22</f>
        <v>415.03928095980848</v>
      </c>
      <c r="M86" s="7">
        <f>$B86*'Janssen Payments'!K$22</f>
        <v>415.03927416229919</v>
      </c>
      <c r="N86" s="7">
        <f>$B86*'Janssen Payments'!L$22</f>
        <v>528.41760210061318</v>
      </c>
      <c r="O86" s="7">
        <f>$B86*'Janssen Payments'!M$22</f>
        <v>528.41760308417383</v>
      </c>
      <c r="P86" s="7">
        <f>$B86*'Janssen Payments'!N$22</f>
        <v>528.41760210061318</v>
      </c>
      <c r="Q86" s="7">
        <f>$B86*'Janssen Payments'!$O$22</f>
        <v>493.93504108779268</v>
      </c>
      <c r="R86" s="7">
        <v>0</v>
      </c>
      <c r="S86" s="7">
        <f t="shared" si="1"/>
        <v>10748.11568543867</v>
      </c>
    </row>
    <row r="87" spans="1:19" customFormat="1" x14ac:dyDescent="0.35">
      <c r="A87" s="3" t="s">
        <v>63</v>
      </c>
      <c r="B87" s="6">
        <v>2.3972160371395988E-4</v>
      </c>
      <c r="C87" s="8" t="s">
        <v>118</v>
      </c>
      <c r="D87" s="33" t="s">
        <v>336</v>
      </c>
      <c r="E87" s="12">
        <v>807.65</v>
      </c>
      <c r="F87" s="13">
        <v>2304.84</v>
      </c>
      <c r="G87" s="13">
        <v>1781.76</v>
      </c>
      <c r="H87" s="13">
        <v>2904.76</v>
      </c>
      <c r="I87" s="13">
        <v>3253.82</v>
      </c>
      <c r="J87" s="12">
        <v>0</v>
      </c>
      <c r="K87" s="7">
        <f>$B87*'Janssen Payments'!I$22</f>
        <v>617.92476505661739</v>
      </c>
      <c r="L87" s="7">
        <f>$B87*'Janssen Payments'!J$22</f>
        <v>617.9247635922585</v>
      </c>
      <c r="M87" s="7">
        <f>$B87*'Janssen Payments'!K$22</f>
        <v>617.9247534718927</v>
      </c>
      <c r="N87" s="7">
        <f>$B87*'Janssen Payments'!L$22</f>
        <v>786.72630961797859</v>
      </c>
      <c r="O87" s="7">
        <f>$B87*'Janssen Payments'!M$22</f>
        <v>786.72631108233759</v>
      </c>
      <c r="P87" s="7">
        <f>$B87*'Janssen Payments'!N$22</f>
        <v>786.72630961797859</v>
      </c>
      <c r="Q87" s="7">
        <f>$B87*'Janssen Payments'!$O$22</f>
        <v>735.38748618751367</v>
      </c>
      <c r="R87" s="7">
        <v>0</v>
      </c>
      <c r="S87" s="7">
        <f t="shared" si="1"/>
        <v>16002.170698626576</v>
      </c>
    </row>
    <row r="88" spans="1:19" customFormat="1" x14ac:dyDescent="0.35">
      <c r="A88" s="3" t="s">
        <v>63</v>
      </c>
      <c r="B88" s="6">
        <v>2.8492835414040001E-2</v>
      </c>
      <c r="C88" s="8" t="s">
        <v>119</v>
      </c>
      <c r="D88" s="33" t="s">
        <v>336</v>
      </c>
      <c r="E88" s="13">
        <v>93130.62</v>
      </c>
      <c r="F88" s="13">
        <v>265773.43</v>
      </c>
      <c r="G88" s="13">
        <v>205456.5</v>
      </c>
      <c r="H88" s="13">
        <v>334951.65000000002</v>
      </c>
      <c r="I88" s="13">
        <v>375201.83</v>
      </c>
      <c r="J88" s="12">
        <v>0</v>
      </c>
      <c r="K88" s="7">
        <f>$B88*'Janssen Payments'!I$22</f>
        <v>73445.314716089764</v>
      </c>
      <c r="L88" s="7">
        <f>$B88*'Janssen Payments'!J$22</f>
        <v>73445.314542038963</v>
      </c>
      <c r="M88" s="7">
        <f>$B88*'Janssen Payments'!K$22</f>
        <v>73445.313339152315</v>
      </c>
      <c r="N88" s="7">
        <f>$B88*'Janssen Payments'!L$22</f>
        <v>93508.732248376691</v>
      </c>
      <c r="O88" s="7">
        <f>$B88*'Janssen Payments'!M$22</f>
        <v>93508.732422427507</v>
      </c>
      <c r="P88" s="7">
        <f>$B88*'Janssen Payments'!N$22</f>
        <v>93508.732248376691</v>
      </c>
      <c r="Q88" s="7">
        <f>$B88*'Janssen Payments'!$O$22</f>
        <v>87406.701293752674</v>
      </c>
      <c r="R88" s="7">
        <v>0</v>
      </c>
      <c r="S88" s="7">
        <f t="shared" si="1"/>
        <v>1862782.8708102147</v>
      </c>
    </row>
    <row r="89" spans="1:19" customFormat="1" x14ac:dyDescent="0.35">
      <c r="A89" s="3" t="s">
        <v>63</v>
      </c>
      <c r="B89" s="6">
        <v>3.5084584823786191E-5</v>
      </c>
      <c r="C89" s="8" t="s">
        <v>120</v>
      </c>
      <c r="D89" s="33" t="s">
        <v>336</v>
      </c>
      <c r="E89" s="12">
        <v>118.2</v>
      </c>
      <c r="F89" s="12">
        <v>337.33</v>
      </c>
      <c r="G89" s="12">
        <v>260.77</v>
      </c>
      <c r="H89" s="12">
        <v>425.13</v>
      </c>
      <c r="I89" s="12">
        <v>476.21</v>
      </c>
      <c r="J89" s="12">
        <v>0</v>
      </c>
      <c r="K89" s="7">
        <f>$B89*'Janssen Payments'!I$22</f>
        <v>90.436712830503069</v>
      </c>
      <c r="L89" s="7">
        <f>$B89*'Janssen Payments'!J$22</f>
        <v>90.436712616186014</v>
      </c>
      <c r="M89" s="7">
        <f>$B89*'Janssen Payments'!K$22</f>
        <v>90.43671113501442</v>
      </c>
      <c r="N89" s="7">
        <f>$B89*'Janssen Payments'!L$22</f>
        <v>115.1417540816697</v>
      </c>
      <c r="O89" s="7">
        <f>$B89*'Janssen Payments'!M$22</f>
        <v>115.14175429598676</v>
      </c>
      <c r="P89" s="7">
        <f>$B89*'Janssen Payments'!N$22</f>
        <v>115.1417540816697</v>
      </c>
      <c r="Q89" s="7">
        <f>$B89*'Janssen Payments'!$O$22</f>
        <v>107.62803284214073</v>
      </c>
      <c r="R89" s="7">
        <v>0</v>
      </c>
      <c r="S89" s="7">
        <f t="shared" si="1"/>
        <v>2342.0034318831699</v>
      </c>
    </row>
    <row r="90" spans="1:19" customFormat="1" x14ac:dyDescent="0.35">
      <c r="A90" s="3" t="s">
        <v>121</v>
      </c>
      <c r="B90" s="6">
        <v>8.8497408803487904E-5</v>
      </c>
      <c r="C90" s="8" t="s">
        <v>122</v>
      </c>
      <c r="D90" s="33" t="s">
        <v>336</v>
      </c>
      <c r="E90" s="12">
        <v>298.16000000000003</v>
      </c>
      <c r="F90" s="12">
        <v>850.87</v>
      </c>
      <c r="G90" s="12">
        <v>657.77</v>
      </c>
      <c r="H90" s="13">
        <v>1072.3399999999999</v>
      </c>
      <c r="I90" s="13">
        <v>1201.2</v>
      </c>
      <c r="J90" s="12">
        <v>0</v>
      </c>
      <c r="K90" s="7">
        <f>$B90*'Janssen Payments'!I$22</f>
        <v>228.11769859618286</v>
      </c>
      <c r="L90" s="7">
        <f>$B90*'Janssen Payments'!J$22</f>
        <v>228.11769805558922</v>
      </c>
      <c r="M90" s="7">
        <f>$B90*'Janssen Payments'!K$22</f>
        <v>228.11769431947977</v>
      </c>
      <c r="N90" s="7">
        <f>$B90*'Janssen Payments'!L$22</f>
        <v>290.43373129522922</v>
      </c>
      <c r="O90" s="7">
        <f>$B90*'Janssen Payments'!M$22</f>
        <v>290.43373183582287</v>
      </c>
      <c r="P90" s="7">
        <f>$B90*'Janssen Payments'!N$22</f>
        <v>290.43373129522922</v>
      </c>
      <c r="Q90" s="7">
        <f>$B90*'Janssen Payments'!$O$22</f>
        <v>271.48110969489511</v>
      </c>
      <c r="R90" s="7">
        <v>0</v>
      </c>
      <c r="S90" s="7">
        <f t="shared" si="1"/>
        <v>5907.4753950924287</v>
      </c>
    </row>
    <row r="91" spans="1:19" customFormat="1" x14ac:dyDescent="0.35">
      <c r="A91" s="3" t="s">
        <v>75</v>
      </c>
      <c r="B91" s="6">
        <v>7.5069791154999557E-4</v>
      </c>
      <c r="C91" s="8" t="s">
        <v>123</v>
      </c>
      <c r="D91" s="33" t="s">
        <v>336</v>
      </c>
      <c r="E91" s="13">
        <v>2529.17</v>
      </c>
      <c r="F91" s="13">
        <v>7217.69</v>
      </c>
      <c r="G91" s="13">
        <v>5579.64</v>
      </c>
      <c r="H91" s="13">
        <v>9096.3799999999992</v>
      </c>
      <c r="I91" s="13">
        <v>10189.459999999999</v>
      </c>
      <c r="J91" s="12">
        <v>0</v>
      </c>
      <c r="K91" s="7">
        <f>$B91*'Janssen Payments'!I$22</f>
        <v>1935.0564297764674</v>
      </c>
      <c r="L91" s="7">
        <f>$B91*'Janssen Payments'!J$22</f>
        <v>1935.0564251907681</v>
      </c>
      <c r="M91" s="7">
        <f>$B91*'Janssen Payments'!K$22</f>
        <v>1935.0563934984327</v>
      </c>
      <c r="N91" s="7">
        <f>$B91*'Janssen Payments'!L$22</f>
        <v>2463.6653035925742</v>
      </c>
      <c r="O91" s="7">
        <f>$B91*'Janssen Payments'!M$22</f>
        <v>2463.6653081782738</v>
      </c>
      <c r="P91" s="7">
        <f>$B91*'Janssen Payments'!N$22</f>
        <v>2463.6653035925742</v>
      </c>
      <c r="Q91" s="7">
        <f>$B91*'Janssen Payments'!$O$22</f>
        <v>2302.8956986275143</v>
      </c>
      <c r="R91" s="7">
        <v>0</v>
      </c>
      <c r="S91" s="7">
        <f t="shared" si="1"/>
        <v>50111.400862456605</v>
      </c>
    </row>
    <row r="92" spans="1:19" customFormat="1" x14ac:dyDescent="0.35">
      <c r="A92" s="3" t="s">
        <v>45</v>
      </c>
      <c r="B92" s="6">
        <v>4.5819319944451464E-4</v>
      </c>
      <c r="C92" s="8" t="s">
        <v>124</v>
      </c>
      <c r="D92" s="33" t="s">
        <v>336</v>
      </c>
      <c r="E92" s="13">
        <v>1543.7</v>
      </c>
      <c r="F92" s="13">
        <v>4405.3599999999997</v>
      </c>
      <c r="G92" s="13">
        <v>3405.57</v>
      </c>
      <c r="H92" s="13">
        <v>5552.03</v>
      </c>
      <c r="I92" s="13">
        <v>6219.2</v>
      </c>
      <c r="J92" s="12">
        <v>0</v>
      </c>
      <c r="K92" s="7">
        <f>$B92*'Janssen Payments'!I$22</f>
        <v>1181.0738820816753</v>
      </c>
      <c r="L92" s="7">
        <f>$B92*'Janssen Payments'!J$22</f>
        <v>1181.0738792827649</v>
      </c>
      <c r="M92" s="7">
        <f>$B92*'Janssen Payments'!K$22</f>
        <v>1181.0738599391482</v>
      </c>
      <c r="N92" s="7">
        <f>$B92*'Janssen Payments'!L$22</f>
        <v>1503.7136382633244</v>
      </c>
      <c r="O92" s="7">
        <f>$B92*'Janssen Payments'!M$22</f>
        <v>1503.7136410622347</v>
      </c>
      <c r="P92" s="7">
        <f>$B92*'Janssen Payments'!N$22</f>
        <v>1503.7136382633244</v>
      </c>
      <c r="Q92" s="7">
        <f>$B92*'Janssen Payments'!$O$22</f>
        <v>1405.5868970815411</v>
      </c>
      <c r="R92" s="7">
        <v>0</v>
      </c>
      <c r="S92" s="7">
        <f t="shared" si="1"/>
        <v>30585.809435974017</v>
      </c>
    </row>
    <row r="93" spans="1:19" customFormat="1" x14ac:dyDescent="0.35">
      <c r="A93" s="3" t="s">
        <v>105</v>
      </c>
      <c r="B93" s="6">
        <v>1.2116695250141902E-4</v>
      </c>
      <c r="C93" s="8" t="s">
        <v>125</v>
      </c>
      <c r="D93" s="33" t="s">
        <v>336</v>
      </c>
      <c r="E93" s="12">
        <v>408.22</v>
      </c>
      <c r="F93" s="13">
        <v>1164.98</v>
      </c>
      <c r="G93" s="12">
        <v>900.59</v>
      </c>
      <c r="H93" s="13">
        <v>1468.21</v>
      </c>
      <c r="I93" s="13">
        <v>1644.64</v>
      </c>
      <c r="J93" s="12">
        <v>0</v>
      </c>
      <c r="K93" s="7">
        <f>$B93*'Janssen Payments'!I$22</f>
        <v>312.32921646229414</v>
      </c>
      <c r="L93" s="7">
        <f>$B93*'Janssen Payments'!J$22</f>
        <v>312.32921572213593</v>
      </c>
      <c r="M93" s="7">
        <f>$B93*'Janssen Payments'!K$22</f>
        <v>312.32921060681105</v>
      </c>
      <c r="N93" s="7">
        <f>$B93*'Janssen Payments'!L$22</f>
        <v>397.64972331339004</v>
      </c>
      <c r="O93" s="7">
        <f>$B93*'Janssen Payments'!M$22</f>
        <v>397.64972405354825</v>
      </c>
      <c r="P93" s="7">
        <f>$B93*'Janssen Payments'!N$22</f>
        <v>397.64972331339004</v>
      </c>
      <c r="Q93" s="7">
        <f>$B93*'Janssen Payments'!$O$22</f>
        <v>371.70058613216054</v>
      </c>
      <c r="R93" s="7">
        <v>0</v>
      </c>
      <c r="S93" s="7">
        <f t="shared" si="1"/>
        <v>8088.2773996037313</v>
      </c>
    </row>
    <row r="94" spans="1:19" customFormat="1" x14ac:dyDescent="0.35">
      <c r="A94" s="3" t="s">
        <v>14</v>
      </c>
      <c r="B94" s="6">
        <v>8.427740556918813E-5</v>
      </c>
      <c r="C94" s="8" t="s">
        <v>339</v>
      </c>
      <c r="D94" s="33" t="s">
        <v>336</v>
      </c>
      <c r="E94" s="12">
        <v>283.94</v>
      </c>
      <c r="F94" s="12">
        <v>810.3</v>
      </c>
      <c r="G94" s="12">
        <v>626.4</v>
      </c>
      <c r="H94" s="13">
        <v>1021.21</v>
      </c>
      <c r="I94" s="13">
        <v>1143.92</v>
      </c>
      <c r="J94" s="12">
        <v>0</v>
      </c>
      <c r="K94" s="7">
        <f>$B94*'Janssen Payments'!I$22</f>
        <v>217.23989506620003</v>
      </c>
      <c r="L94" s="7">
        <f>$B94*'Janssen Payments'!J$22</f>
        <v>217.23989455138465</v>
      </c>
      <c r="M94" s="7">
        <f>$B94*'Janssen Payments'!K$22</f>
        <v>217.23989099343177</v>
      </c>
      <c r="N94" s="7">
        <f>$B94*'Janssen Payments'!L$22</f>
        <v>276.58438472128398</v>
      </c>
      <c r="O94" s="7">
        <f>$B94*'Janssen Payments'!M$22</f>
        <v>276.58438523609937</v>
      </c>
      <c r="P94" s="7">
        <f>$B94*'Janssen Payments'!N$22</f>
        <v>276.58438472128398</v>
      </c>
      <c r="Q94" s="7">
        <f>$B94*'Janssen Payments'!$O$22</f>
        <v>258.53551980188803</v>
      </c>
      <c r="R94" s="7">
        <v>0</v>
      </c>
      <c r="S94" s="7">
        <f t="shared" si="1"/>
        <v>5625.7783550915719</v>
      </c>
    </row>
    <row r="95" spans="1:19" customFormat="1" x14ac:dyDescent="0.35">
      <c r="A95" s="3" t="s">
        <v>22</v>
      </c>
      <c r="B95" s="6">
        <v>3.3764697821205995E-4</v>
      </c>
      <c r="C95" s="8" t="s">
        <v>127</v>
      </c>
      <c r="D95" s="33" t="s">
        <v>336</v>
      </c>
      <c r="E95" s="13">
        <v>1137.57</v>
      </c>
      <c r="F95" s="13">
        <v>3246.35</v>
      </c>
      <c r="G95" s="13">
        <v>2509.6</v>
      </c>
      <c r="H95" s="13">
        <v>4091.35</v>
      </c>
      <c r="I95" s="13">
        <v>4582.99</v>
      </c>
      <c r="J95" s="12">
        <v>0</v>
      </c>
      <c r="K95" s="7">
        <f>$B95*'Janssen Payments'!I$22</f>
        <v>870.34471007760101</v>
      </c>
      <c r="L95" s="7">
        <f>$B95*'Janssen Payments'!J$22</f>
        <v>870.34470801505688</v>
      </c>
      <c r="M95" s="7">
        <f>$B95*'Janssen Payments'!K$22</f>
        <v>870.34469376055972</v>
      </c>
      <c r="N95" s="7">
        <f>$B95*'Janssen Payments'!L$22</f>
        <v>1108.1010514154466</v>
      </c>
      <c r="O95" s="7">
        <f>$B95*'Janssen Payments'!M$22</f>
        <v>1108.1010534779907</v>
      </c>
      <c r="P95" s="7">
        <f>$B95*'Janssen Payments'!N$22</f>
        <v>1108.1010514154466</v>
      </c>
      <c r="Q95" s="7">
        <f>$B95*'Janssen Payments'!$O$22</f>
        <v>1035.7905114903813</v>
      </c>
      <c r="R95" s="7">
        <v>0</v>
      </c>
      <c r="S95" s="7">
        <f t="shared" si="1"/>
        <v>22538.987779652485</v>
      </c>
    </row>
    <row r="96" spans="1:19" customFormat="1" x14ac:dyDescent="0.35">
      <c r="A96" s="3" t="s">
        <v>99</v>
      </c>
      <c r="B96" s="6">
        <v>3.8116364934622371E-6</v>
      </c>
      <c r="C96" s="8" t="s">
        <v>128</v>
      </c>
      <c r="D96" s="33" t="s">
        <v>338</v>
      </c>
      <c r="E96" s="12">
        <f>12.84+94.15</f>
        <v>106.99000000000001</v>
      </c>
      <c r="F96" s="12">
        <v>36.65</v>
      </c>
      <c r="G96" s="12">
        <v>28.33</v>
      </c>
      <c r="H96" s="12">
        <v>46.19</v>
      </c>
      <c r="I96" s="12">
        <v>51.74</v>
      </c>
      <c r="J96" s="12">
        <v>0</v>
      </c>
      <c r="K96" s="51">
        <f>$B96*'Janssen Payments'!I$22</f>
        <v>9.8251661436166327</v>
      </c>
      <c r="L96" s="51">
        <f>$B96*'Janssen Payments'!J$22</f>
        <v>9.8251661203329412</v>
      </c>
      <c r="M96" s="51">
        <f>$B96*'Janssen Payments'!K$22</f>
        <v>9.8251659594164646</v>
      </c>
      <c r="N96" s="51">
        <f>$B96*'Janssen Payments'!L$22</f>
        <v>12.509155060070757</v>
      </c>
      <c r="O96" s="51">
        <f>$B96*'Janssen Payments'!M$22</f>
        <v>12.50915508335445</v>
      </c>
      <c r="P96" s="51">
        <f>$B96*'Janssen Payments'!N$22</f>
        <v>12.509155060070757</v>
      </c>
      <c r="Q96" s="51">
        <f>$B96*'Janssen Payments'!$O$22</f>
        <v>11.692854276631694</v>
      </c>
      <c r="R96" s="7">
        <v>0</v>
      </c>
      <c r="S96" s="7">
        <f>E96+F96+G96+H96+I96</f>
        <v>269.90000000000003</v>
      </c>
    </row>
    <row r="97" spans="1:19" customFormat="1" x14ac:dyDescent="0.35">
      <c r="A97" s="3" t="s">
        <v>63</v>
      </c>
      <c r="B97" s="6">
        <v>1.2134624402600936E-4</v>
      </c>
      <c r="C97" s="8" t="s">
        <v>129</v>
      </c>
      <c r="D97" s="8" t="s">
        <v>337</v>
      </c>
      <c r="E97" s="12">
        <v>0</v>
      </c>
      <c r="F97" s="12">
        <v>0</v>
      </c>
      <c r="G97" s="12">
        <v>0</v>
      </c>
      <c r="H97" s="12">
        <v>0</v>
      </c>
      <c r="I97" s="12">
        <v>0</v>
      </c>
      <c r="J97" s="12">
        <v>0</v>
      </c>
      <c r="K97" s="12">
        <v>0</v>
      </c>
      <c r="L97" s="12">
        <v>0</v>
      </c>
      <c r="M97" s="12">
        <v>0</v>
      </c>
      <c r="N97" s="12">
        <v>0</v>
      </c>
      <c r="O97" s="12">
        <v>0</v>
      </c>
      <c r="P97" s="12">
        <v>0</v>
      </c>
      <c r="Q97" s="12">
        <v>0</v>
      </c>
      <c r="R97" s="7">
        <v>0</v>
      </c>
      <c r="S97" s="7">
        <f t="shared" si="1"/>
        <v>0</v>
      </c>
    </row>
    <row r="98" spans="1:19" customFormat="1" x14ac:dyDescent="0.35">
      <c r="A98" s="3" t="s">
        <v>63</v>
      </c>
      <c r="B98" s="6">
        <v>2.1326060463119998E-2</v>
      </c>
      <c r="C98" s="8" t="s">
        <v>63</v>
      </c>
      <c r="D98" s="33" t="s">
        <v>336</v>
      </c>
      <c r="E98" s="13">
        <v>70091.38</v>
      </c>
      <c r="F98" s="13">
        <v>200024.73</v>
      </c>
      <c r="G98" s="13">
        <v>154629.38</v>
      </c>
      <c r="H98" s="13">
        <v>252089.2</v>
      </c>
      <c r="I98" s="13">
        <v>282382.03999999998</v>
      </c>
      <c r="J98" s="12">
        <v>0</v>
      </c>
      <c r="K98" s="7">
        <f>$B98*'Janssen Payments'!I$22</f>
        <v>54971.686727829299</v>
      </c>
      <c r="L98" s="7">
        <f>$B98*'Janssen Payments'!J$22</f>
        <v>54971.686597557316</v>
      </c>
      <c r="M98" s="7">
        <f>$B98*'Janssen Payments'!K$22</f>
        <v>54971.685697231565</v>
      </c>
      <c r="N98" s="7">
        <f>$B98*'Janssen Payments'!L$22</f>
        <v>69988.572522899587</v>
      </c>
      <c r="O98" s="7">
        <f>$B98*'Janssen Payments'!M$22</f>
        <v>69988.572653171563</v>
      </c>
      <c r="P98" s="7">
        <f>$B98*'Janssen Payments'!N$22</f>
        <v>69988.572522899587</v>
      </c>
      <c r="Q98" s="7">
        <f>$B98*'Janssen Payments'!$O$22</f>
        <v>65421.379430490873</v>
      </c>
      <c r="R98" s="7">
        <v>0</v>
      </c>
      <c r="S98" s="7">
        <f t="shared" si="1"/>
        <v>1399518.8861520798</v>
      </c>
    </row>
    <row r="99" spans="1:19" customFormat="1" x14ac:dyDescent="0.35">
      <c r="A99" s="3" t="s">
        <v>60</v>
      </c>
      <c r="B99" s="6">
        <v>7.0876314709874915E-7</v>
      </c>
      <c r="C99" s="8" t="s">
        <v>130</v>
      </c>
      <c r="D99" s="33" t="s">
        <v>338</v>
      </c>
      <c r="E99" s="12">
        <f>2.39+17.51</f>
        <v>19.900000000000002</v>
      </c>
      <c r="F99" s="12">
        <v>6.81</v>
      </c>
      <c r="G99" s="12">
        <v>5.27</v>
      </c>
      <c r="H99" s="12">
        <v>8.59</v>
      </c>
      <c r="I99" s="12">
        <v>9.6199999999999992</v>
      </c>
      <c r="J99" s="12">
        <v>0</v>
      </c>
      <c r="K99" s="51">
        <f>$B99*'Janssen Payments'!I$22</f>
        <v>1.8269621693102296</v>
      </c>
      <c r="L99" s="51">
        <f>$B99*'Janssen Payments'!J$22</f>
        <v>1.8269621649806922</v>
      </c>
      <c r="M99" s="51">
        <f>$B99*'Janssen Payments'!K$22</f>
        <v>1.8269621350587235</v>
      </c>
      <c r="N99" s="51">
        <f>$B99*'Janssen Payments'!L$22</f>
        <v>2.3260424028180826</v>
      </c>
      <c r="O99" s="51">
        <f>$B99*'Janssen Payments'!M$22</f>
        <v>2.3260424071476202</v>
      </c>
      <c r="P99" s="51">
        <f>$B99*'Janssen Payments'!N$22</f>
        <v>2.3260424028180826</v>
      </c>
      <c r="Q99" s="51">
        <f>$B99*'Janssen Payments'!$O$22</f>
        <v>2.1742535548411559</v>
      </c>
      <c r="R99" s="7">
        <v>0</v>
      </c>
      <c r="S99" s="7">
        <f>E99+F99+G99+H99+I99</f>
        <v>50.19</v>
      </c>
    </row>
    <row r="100" spans="1:19" customFormat="1" x14ac:dyDescent="0.35">
      <c r="A100" s="3" t="s">
        <v>24</v>
      </c>
      <c r="B100" s="6">
        <v>6.7511546302027525E-5</v>
      </c>
      <c r="C100" s="8" t="s">
        <v>131</v>
      </c>
      <c r="D100" s="33" t="s">
        <v>336</v>
      </c>
      <c r="E100" s="12">
        <v>227.45</v>
      </c>
      <c r="F100" s="12">
        <v>649.1</v>
      </c>
      <c r="G100" s="12">
        <v>501.79</v>
      </c>
      <c r="H100" s="12">
        <v>818.05</v>
      </c>
      <c r="I100" s="12">
        <v>916.36</v>
      </c>
      <c r="J100" s="12">
        <v>0</v>
      </c>
      <c r="K100" s="7">
        <f>$B100*'Janssen Payments'!I$22</f>
        <v>174.02293218873527</v>
      </c>
      <c r="L100" s="7">
        <f>$B100*'Janssen Payments'!J$22</f>
        <v>174.02293177633547</v>
      </c>
      <c r="M100" s="7">
        <f>$B100*'Janssen Payments'!K$22</f>
        <v>174.02292892618959</v>
      </c>
      <c r="N100" s="7">
        <f>$B100*'Janssen Payments'!L$22</f>
        <v>221.56163172582859</v>
      </c>
      <c r="O100" s="7">
        <f>$B100*'Janssen Payments'!M$22</f>
        <v>221.56163213822839</v>
      </c>
      <c r="P100" s="7">
        <f>$B100*'Janssen Payments'!N$22</f>
        <v>221.56163172582859</v>
      </c>
      <c r="Q100" s="7">
        <f>$B100*'Janssen Payments'!$O$22</f>
        <v>207.10334635888645</v>
      </c>
      <c r="R100" s="7">
        <v>0</v>
      </c>
      <c r="S100" s="7">
        <f t="shared" si="1"/>
        <v>4506.6070348400326</v>
      </c>
    </row>
    <row r="101" spans="1:19" customFormat="1" x14ac:dyDescent="0.35">
      <c r="A101" s="3" t="s">
        <v>132</v>
      </c>
      <c r="B101" s="6">
        <v>2.0155047369405737E-3</v>
      </c>
      <c r="C101" s="8" t="s">
        <v>132</v>
      </c>
      <c r="D101" s="33" t="s">
        <v>336</v>
      </c>
      <c r="E101" s="13">
        <v>6790.43</v>
      </c>
      <c r="F101" s="13">
        <v>19378.34</v>
      </c>
      <c r="G101" s="13">
        <v>14980.45</v>
      </c>
      <c r="H101" s="13">
        <v>24422.33</v>
      </c>
      <c r="I101" s="13">
        <v>27357.09</v>
      </c>
      <c r="J101" s="12">
        <v>0</v>
      </c>
      <c r="K101" s="7">
        <f>$B101*'Janssen Payments'!I$22</f>
        <v>5195.3193694239308</v>
      </c>
      <c r="L101" s="7">
        <f>$B101*'Janssen Payments'!J$22</f>
        <v>5195.3193571120555</v>
      </c>
      <c r="M101" s="7">
        <f>$B101*'Janssen Payments'!K$22</f>
        <v>5195.3192720231655</v>
      </c>
      <c r="N101" s="7">
        <f>$B101*'Janssen Payments'!L$22</f>
        <v>6614.5502914407289</v>
      </c>
      <c r="O101" s="7">
        <f>$B101*'Janssen Payments'!M$22</f>
        <v>6614.5503037526041</v>
      </c>
      <c r="P101" s="7">
        <f>$B101*'Janssen Payments'!N$22</f>
        <v>6614.5502914407289</v>
      </c>
      <c r="Q101" s="7">
        <f>$B101*'Janssen Payments'!$O$22</f>
        <v>6182.9094204889207</v>
      </c>
      <c r="R101" s="7">
        <v>0</v>
      </c>
      <c r="S101" s="7">
        <f t="shared" si="1"/>
        <v>134541.15830568213</v>
      </c>
    </row>
    <row r="102" spans="1:19" customFormat="1" x14ac:dyDescent="0.35">
      <c r="A102" s="3" t="s">
        <v>133</v>
      </c>
      <c r="B102" s="6">
        <v>6.9991056653279115E-4</v>
      </c>
      <c r="C102" s="8" t="s">
        <v>133</v>
      </c>
      <c r="D102" s="33" t="s">
        <v>336</v>
      </c>
      <c r="E102" s="13">
        <v>2358.0700000000002</v>
      </c>
      <c r="F102" s="13">
        <v>6729.38</v>
      </c>
      <c r="G102" s="13">
        <v>5202.16</v>
      </c>
      <c r="H102" s="13">
        <v>8480.98</v>
      </c>
      <c r="I102" s="13">
        <v>9500.11</v>
      </c>
      <c r="J102" s="12">
        <v>0</v>
      </c>
      <c r="K102" s="7">
        <f>$B102*'Janssen Payments'!I$22</f>
        <v>1804.1430796595048</v>
      </c>
      <c r="L102" s="7">
        <f>$B102*'Janssen Payments'!J$22</f>
        <v>1804.1430753840441</v>
      </c>
      <c r="M102" s="7">
        <f>$B102*'Janssen Payments'!K$22</f>
        <v>1804.1430458358063</v>
      </c>
      <c r="N102" s="7">
        <f>$B102*'Janssen Payments'!L$22</f>
        <v>2296.989710314147</v>
      </c>
      <c r="O102" s="7">
        <f>$B102*'Janssen Payments'!M$22</f>
        <v>2296.989714589608</v>
      </c>
      <c r="P102" s="7">
        <f>$B102*'Janssen Payments'!N$22</f>
        <v>2296.989710314147</v>
      </c>
      <c r="Q102" s="7">
        <f>$B102*'Janssen Payments'!$O$22</f>
        <v>2147.0967326448545</v>
      </c>
      <c r="R102" s="7">
        <v>0</v>
      </c>
      <c r="S102" s="7">
        <f t="shared" si="1"/>
        <v>46721.195068742119</v>
      </c>
    </row>
    <row r="103" spans="1:19" customFormat="1" x14ac:dyDescent="0.35">
      <c r="A103" s="3" t="s">
        <v>63</v>
      </c>
      <c r="B103" s="6">
        <v>1.96679122158815E-4</v>
      </c>
      <c r="C103" s="8" t="s">
        <v>134</v>
      </c>
      <c r="D103" s="33" t="s">
        <v>336</v>
      </c>
      <c r="E103" s="12">
        <v>662.63</v>
      </c>
      <c r="F103" s="13">
        <v>1891</v>
      </c>
      <c r="G103" s="13">
        <v>1461.84</v>
      </c>
      <c r="H103" s="13">
        <v>2383.21</v>
      </c>
      <c r="I103" s="13">
        <v>2669.59</v>
      </c>
      <c r="J103" s="12">
        <v>0</v>
      </c>
      <c r="K103" s="7">
        <f>$B103*'Janssen Payments'!I$22</f>
        <v>506.97516814772672</v>
      </c>
      <c r="L103" s="7">
        <f>$B103*'Janssen Payments'!J$22</f>
        <v>506.97516694629621</v>
      </c>
      <c r="M103" s="7">
        <f>$B103*'Janssen Payments'!K$22</f>
        <v>506.97515864306189</v>
      </c>
      <c r="N103" s="7">
        <f>$B103*'Janssen Payments'!L$22</f>
        <v>645.46806611363195</v>
      </c>
      <c r="O103" s="7">
        <f>$B103*'Janssen Payments'!M$22</f>
        <v>645.4680673150624</v>
      </c>
      <c r="P103" s="7">
        <f>$B103*'Janssen Payments'!N$22</f>
        <v>645.46806611363195</v>
      </c>
      <c r="Q103" s="7">
        <f>$B103*'Janssen Payments'!$O$22</f>
        <v>603.34722857318854</v>
      </c>
      <c r="R103" s="7">
        <v>0</v>
      </c>
      <c r="S103" s="7">
        <f t="shared" si="1"/>
        <v>13128.946921852597</v>
      </c>
    </row>
    <row r="104" spans="1:19" customFormat="1" x14ac:dyDescent="0.35">
      <c r="A104" s="3" t="s">
        <v>24</v>
      </c>
      <c r="B104" s="6">
        <v>1.0569279873332567E-4</v>
      </c>
      <c r="C104" s="8" t="s">
        <v>135</v>
      </c>
      <c r="D104" s="33" t="s">
        <v>336</v>
      </c>
      <c r="E104" s="12">
        <v>356.09</v>
      </c>
      <c r="F104" s="13">
        <v>1016.2</v>
      </c>
      <c r="G104" s="12">
        <v>785.57</v>
      </c>
      <c r="H104" s="13">
        <v>1280.7</v>
      </c>
      <c r="I104" s="13">
        <v>1434.6</v>
      </c>
      <c r="J104" s="12">
        <v>0</v>
      </c>
      <c r="K104" s="7">
        <f>$B104*'Janssen Payments'!I$22</f>
        <v>272.44185260580821</v>
      </c>
      <c r="L104" s="7">
        <f>$B104*'Janssen Payments'!J$22</f>
        <v>272.44185196017509</v>
      </c>
      <c r="M104" s="7">
        <f>$B104*'Janssen Payments'!K$22</f>
        <v>272.44184749812513</v>
      </c>
      <c r="N104" s="7">
        <f>$B104*'Janssen Payments'!L$22</f>
        <v>346.86613226516999</v>
      </c>
      <c r="O104" s="7">
        <f>$B104*'Janssen Payments'!M$22</f>
        <v>346.86613291080306</v>
      </c>
      <c r="P104" s="7">
        <f>$B104*'Janssen Payments'!N$22</f>
        <v>346.86613226516999</v>
      </c>
      <c r="Q104" s="7">
        <f>$B104*'Janssen Payments'!$O$22</f>
        <v>324.23094274542837</v>
      </c>
      <c r="R104" s="7">
        <v>0</v>
      </c>
      <c r="S104" s="7">
        <f t="shared" si="1"/>
        <v>7055.314892250678</v>
      </c>
    </row>
    <row r="105" spans="1:19" customFormat="1" x14ac:dyDescent="0.35">
      <c r="A105" s="3" t="s">
        <v>24</v>
      </c>
      <c r="B105" s="6">
        <v>3.2592975466104576E-4</v>
      </c>
      <c r="C105" s="8" t="s">
        <v>136</v>
      </c>
      <c r="D105" s="33" t="s">
        <v>336</v>
      </c>
      <c r="E105" s="13">
        <v>1098.0899999999999</v>
      </c>
      <c r="F105" s="13">
        <v>3133.7</v>
      </c>
      <c r="G105" s="13">
        <v>2422.5100000000002</v>
      </c>
      <c r="H105" s="13">
        <v>3949.37</v>
      </c>
      <c r="I105" s="13">
        <v>4423.95</v>
      </c>
      <c r="J105" s="12">
        <v>0</v>
      </c>
      <c r="K105" s="7">
        <f>$B105*'Janssen Payments'!I$22</f>
        <v>840.14149727699066</v>
      </c>
      <c r="L105" s="7">
        <f>$B105*'Janssen Payments'!J$22</f>
        <v>840.14149528602218</v>
      </c>
      <c r="M105" s="7">
        <f>$B105*'Janssen Payments'!K$22</f>
        <v>840.14148152619293</v>
      </c>
      <c r="N105" s="7">
        <f>$B105*'Janssen Payments'!L$22</f>
        <v>1069.6470785550878</v>
      </c>
      <c r="O105" s="7">
        <f>$B105*'Janssen Payments'!M$22</f>
        <v>1069.6470805460563</v>
      </c>
      <c r="P105" s="7">
        <f>$B105*'Janssen Payments'!N$22</f>
        <v>1069.6470785550878</v>
      </c>
      <c r="Q105" s="7">
        <f>$B105*'Janssen Payments'!$O$22</f>
        <v>999.8459014144405</v>
      </c>
      <c r="R105" s="7">
        <v>0</v>
      </c>
      <c r="S105" s="7">
        <f t="shared" si="1"/>
        <v>21756.831613159877</v>
      </c>
    </row>
    <row r="106" spans="1:19" customFormat="1" x14ac:dyDescent="0.35">
      <c r="A106" s="3" t="s">
        <v>14</v>
      </c>
      <c r="B106" s="6">
        <v>3.5213129310977368E-5</v>
      </c>
      <c r="C106" s="8" t="s">
        <v>137</v>
      </c>
      <c r="D106" s="33" t="s">
        <v>336</v>
      </c>
      <c r="E106" s="12">
        <v>118.64</v>
      </c>
      <c r="F106" s="12">
        <v>338.56</v>
      </c>
      <c r="G106" s="12">
        <v>261.73</v>
      </c>
      <c r="H106" s="12">
        <v>426.69</v>
      </c>
      <c r="I106" s="12">
        <v>477.96</v>
      </c>
      <c r="J106" s="12">
        <v>0</v>
      </c>
      <c r="K106" s="7">
        <f>$B106*'Janssen Payments'!I$22</f>
        <v>90.768058945397698</v>
      </c>
      <c r="L106" s="7">
        <f>$B106*'Janssen Payments'!J$22</f>
        <v>90.768058730295422</v>
      </c>
      <c r="M106" s="7">
        <f>$B106*'Janssen Payments'!K$22</f>
        <v>90.768057243697044</v>
      </c>
      <c r="N106" s="7">
        <f>$B106*'Janssen Payments'!L$22</f>
        <v>115.5636156430095</v>
      </c>
      <c r="O106" s="7">
        <f>$B106*'Janssen Payments'!M$22</f>
        <v>115.56361585811177</v>
      </c>
      <c r="P106" s="7">
        <f>$B106*'Janssen Payments'!N$22</f>
        <v>115.5636156430095</v>
      </c>
      <c r="Q106" s="7">
        <f>$B106*'Janssen Payments'!$O$22</f>
        <v>108.02236529209203</v>
      </c>
      <c r="R106" s="7">
        <v>0</v>
      </c>
      <c r="S106" s="7">
        <f t="shared" si="1"/>
        <v>2350.5973873556136</v>
      </c>
    </row>
    <row r="107" spans="1:19" customFormat="1" x14ac:dyDescent="0.35">
      <c r="A107" s="3" t="s">
        <v>14</v>
      </c>
      <c r="B107" s="6">
        <v>1.3440310107840001E-2</v>
      </c>
      <c r="C107" s="8" t="s">
        <v>138</v>
      </c>
      <c r="D107" s="33" t="s">
        <v>336</v>
      </c>
      <c r="E107" s="13">
        <v>43930.5</v>
      </c>
      <c r="F107" s="13">
        <v>125367.56</v>
      </c>
      <c r="G107" s="13">
        <v>96915.56</v>
      </c>
      <c r="H107" s="13">
        <v>157999.51</v>
      </c>
      <c r="I107" s="13">
        <v>176985.86</v>
      </c>
      <c r="J107" s="12">
        <v>0</v>
      </c>
      <c r="K107" s="7">
        <f>$B107*'Janssen Payments'!I$22</f>
        <v>34644.772673825879</v>
      </c>
      <c r="L107" s="7">
        <f>$B107*'Janssen Payments'!J$22</f>
        <v>34644.77259172465</v>
      </c>
      <c r="M107" s="7">
        <f>$B107*'Janssen Payments'!K$22</f>
        <v>34644.772024312901</v>
      </c>
      <c r="N107" s="7">
        <f>$B107*'Janssen Payments'!L$22</f>
        <v>44108.855470027149</v>
      </c>
      <c r="O107" s="7">
        <f>$B107*'Janssen Payments'!M$22</f>
        <v>44108.855552128378</v>
      </c>
      <c r="P107" s="7">
        <f>$B107*'Janssen Payments'!N$22</f>
        <v>44108.855470027149</v>
      </c>
      <c r="Q107" s="7">
        <f>$B107*'Janssen Payments'!$O$22</f>
        <v>41230.476146733359</v>
      </c>
      <c r="R107" s="7">
        <v>0</v>
      </c>
      <c r="S107" s="7">
        <f t="shared" si="1"/>
        <v>878690.34992877953</v>
      </c>
    </row>
    <row r="108" spans="1:19" customFormat="1" x14ac:dyDescent="0.35">
      <c r="A108" s="3" t="s">
        <v>99</v>
      </c>
      <c r="B108" s="6">
        <v>9.5635806226399989E-3</v>
      </c>
      <c r="C108" s="8" t="s">
        <v>99</v>
      </c>
      <c r="D108" s="33" t="s">
        <v>336</v>
      </c>
      <c r="E108" s="13">
        <v>31259.16</v>
      </c>
      <c r="F108" s="13">
        <v>89206.48</v>
      </c>
      <c r="G108" s="13">
        <v>68961.19</v>
      </c>
      <c r="H108" s="13">
        <v>112426.05</v>
      </c>
      <c r="I108" s="13">
        <v>125935.97</v>
      </c>
      <c r="J108" s="12">
        <v>0</v>
      </c>
      <c r="K108" s="7">
        <f>$B108*'Janssen Payments'!I$22</f>
        <v>24651.817849492818</v>
      </c>
      <c r="L108" s="7">
        <f>$B108*'Janssen Payments'!J$22</f>
        <v>24651.817791072906</v>
      </c>
      <c r="M108" s="7">
        <f>$B108*'Janssen Payments'!K$22</f>
        <v>24651.817387325675</v>
      </c>
      <c r="N108" s="7">
        <f>$B108*'Janssen Payments'!L$22</f>
        <v>31386.076070812764</v>
      </c>
      <c r="O108" s="7">
        <f>$B108*'Janssen Payments'!M$22</f>
        <v>31386.076129232675</v>
      </c>
      <c r="P108" s="7">
        <f>$B108*'Janssen Payments'!N$22</f>
        <v>31386.076070812764</v>
      </c>
      <c r="Q108" s="7">
        <f>$B108*'Janssen Payments'!$O$22</f>
        <v>29337.937858227717</v>
      </c>
      <c r="R108" s="7">
        <v>0</v>
      </c>
      <c r="S108" s="7">
        <f t="shared" si="1"/>
        <v>625240.46915697725</v>
      </c>
    </row>
    <row r="109" spans="1:19" x14ac:dyDescent="0.35">
      <c r="A109" s="3" t="s">
        <v>14</v>
      </c>
      <c r="B109" s="6">
        <v>2.605869090966191E-4</v>
      </c>
      <c r="C109" s="8" t="s">
        <v>139</v>
      </c>
      <c r="D109" s="33" t="s">
        <v>336</v>
      </c>
      <c r="E109" s="12">
        <v>877.94</v>
      </c>
      <c r="F109" s="13">
        <v>2505.4499999999998</v>
      </c>
      <c r="G109" s="13">
        <v>1936.84</v>
      </c>
      <c r="H109" s="13">
        <v>3157.59</v>
      </c>
      <c r="I109" s="13">
        <v>3537.03</v>
      </c>
      <c r="J109" s="12">
        <v>0</v>
      </c>
      <c r="K109" s="7">
        <f>$B109*'Janssen Payments'!I$22</f>
        <v>671.70877420165323</v>
      </c>
      <c r="L109" s="7">
        <f>$B109*'Janssen Payments'!J$22</f>
        <v>671.70877260983684</v>
      </c>
      <c r="M109" s="7">
        <f>$B109*'Janssen Payments'!K$22</f>
        <v>671.70876160859711</v>
      </c>
      <c r="N109" s="7">
        <f>$B109*'Janssen Payments'!L$22</f>
        <v>855.20276083652891</v>
      </c>
      <c r="O109" s="7">
        <f>$B109*'Janssen Payments'!M$22</f>
        <v>855.2027624283453</v>
      </c>
      <c r="P109" s="7">
        <f>$B109*'Janssen Payments'!N$22</f>
        <v>855.20276083652891</v>
      </c>
      <c r="Q109" s="7">
        <f>$B109*'Janssen Payments'!$O$22</f>
        <v>799.39541970775406</v>
      </c>
      <c r="R109" s="7">
        <v>0</v>
      </c>
      <c r="S109" s="7">
        <f t="shared" si="1"/>
        <v>17394.980012229247</v>
      </c>
    </row>
    <row r="110" spans="1:19" customFormat="1" x14ac:dyDescent="0.35">
      <c r="A110" s="3" t="s">
        <v>140</v>
      </c>
      <c r="B110" s="6">
        <v>3.5251722027200001E-3</v>
      </c>
      <c r="C110" s="8" t="s">
        <v>140</v>
      </c>
      <c r="D110" s="33" t="s">
        <v>336</v>
      </c>
      <c r="E110" s="13">
        <v>11522.25</v>
      </c>
      <c r="F110" s="13">
        <v>32881.85</v>
      </c>
      <c r="G110" s="13">
        <v>25419.360000000001</v>
      </c>
      <c r="H110" s="13">
        <v>41440.67</v>
      </c>
      <c r="I110" s="13">
        <v>46420.480000000003</v>
      </c>
      <c r="J110" s="12">
        <v>0</v>
      </c>
      <c r="K110" s="7">
        <f>$B110*'Janssen Payments'!I$22</f>
        <v>9086.7538486395697</v>
      </c>
      <c r="L110" s="7">
        <f>$B110*'Janssen Payments'!J$22</f>
        <v>9086.7538271057674</v>
      </c>
      <c r="M110" s="7">
        <f>$B110*'Janssen Payments'!K$22</f>
        <v>9086.7536782830011</v>
      </c>
      <c r="N110" s="7">
        <f>$B110*'Janssen Payments'!L$22</f>
        <v>11569.027049906575</v>
      </c>
      <c r="O110" s="7">
        <f>$B110*'Janssen Payments'!M$22</f>
        <v>11569.027071440378</v>
      </c>
      <c r="P110" s="7">
        <f>$B110*'Janssen Payments'!N$22</f>
        <v>11569.027049906575</v>
      </c>
      <c r="Q110" s="7">
        <f>$B110*'Janssen Payments'!$O$22</f>
        <v>10814.075512483309</v>
      </c>
      <c r="R110" s="7">
        <v>0</v>
      </c>
      <c r="S110" s="7">
        <f t="shared" si="1"/>
        <v>230466.02803776521</v>
      </c>
    </row>
    <row r="111" spans="1:19" customFormat="1" x14ac:dyDescent="0.35">
      <c r="A111" s="3" t="s">
        <v>60</v>
      </c>
      <c r="B111" s="6">
        <v>3.0152819524688503E-4</v>
      </c>
      <c r="C111" s="8" t="s">
        <v>141</v>
      </c>
      <c r="D111" s="33" t="s">
        <v>336</v>
      </c>
      <c r="E111" s="13">
        <v>1015.88</v>
      </c>
      <c r="F111" s="13">
        <v>2899.08</v>
      </c>
      <c r="G111" s="13">
        <v>2241.14</v>
      </c>
      <c r="H111" s="13">
        <v>3653.69</v>
      </c>
      <c r="I111" s="13">
        <v>4092.74</v>
      </c>
      <c r="J111" s="12">
        <v>0</v>
      </c>
      <c r="K111" s="7">
        <f>$B111*'Janssen Payments'!I$22</f>
        <v>777.24216891273488</v>
      </c>
      <c r="L111" s="7">
        <f>$B111*'Janssen Payments'!J$22</f>
        <v>777.2421670708253</v>
      </c>
      <c r="M111" s="7">
        <f>$B111*'Janssen Payments'!K$22</f>
        <v>777.2421543411607</v>
      </c>
      <c r="N111" s="7">
        <f>$B111*'Janssen Payments'!L$22</f>
        <v>989.56523157339848</v>
      </c>
      <c r="O111" s="7">
        <f>$B111*'Janssen Payments'!M$22</f>
        <v>989.56523341530806</v>
      </c>
      <c r="P111" s="7">
        <f>$B111*'Janssen Payments'!N$22</f>
        <v>989.56523157339848</v>
      </c>
      <c r="Q111" s="7">
        <f>$B111*'Janssen Payments'!$O$22</f>
        <v>924.9898969550062</v>
      </c>
      <c r="R111" s="7">
        <v>0</v>
      </c>
      <c r="S111" s="7">
        <f t="shared" si="1"/>
        <v>20127.94208384183</v>
      </c>
    </row>
    <row r="112" spans="1:19" customFormat="1" x14ac:dyDescent="0.35">
      <c r="A112" s="3" t="s">
        <v>22</v>
      </c>
      <c r="B112" s="6">
        <v>2.0079323745357907E-4</v>
      </c>
      <c r="C112" s="8" t="s">
        <v>142</v>
      </c>
      <c r="D112" s="33" t="s">
        <v>336</v>
      </c>
      <c r="E112" s="12">
        <v>676.49</v>
      </c>
      <c r="F112" s="13">
        <v>1930.55</v>
      </c>
      <c r="G112" s="13">
        <v>1492.42</v>
      </c>
      <c r="H112" s="13">
        <v>2433.06</v>
      </c>
      <c r="I112" s="13">
        <v>2725.43</v>
      </c>
      <c r="J112" s="12">
        <v>0</v>
      </c>
      <c r="K112" s="7">
        <f>$B112*'Janssen Payments'!I$22</f>
        <v>517.58002681522646</v>
      </c>
      <c r="L112" s="7">
        <f>$B112*'Janssen Payments'!J$22</f>
        <v>517.58002558866463</v>
      </c>
      <c r="M112" s="7">
        <f>$B112*'Janssen Payments'!K$22</f>
        <v>517.58001711174393</v>
      </c>
      <c r="N112" s="7">
        <f>$B112*'Janssen Payments'!L$22</f>
        <v>658.96990613575474</v>
      </c>
      <c r="O112" s="7">
        <f>$B112*'Janssen Payments'!M$22</f>
        <v>658.96990736231669</v>
      </c>
      <c r="P112" s="7">
        <f>$B112*'Janssen Payments'!N$22</f>
        <v>658.96990613575474</v>
      </c>
      <c r="Q112" s="7">
        <f>$B112*'Janssen Payments'!$O$22</f>
        <v>615.96798889528361</v>
      </c>
      <c r="R112" s="7">
        <v>0</v>
      </c>
      <c r="S112" s="7">
        <f t="shared" si="1"/>
        <v>13403.567778044746</v>
      </c>
    </row>
    <row r="113" spans="1:19" customFormat="1" x14ac:dyDescent="0.35">
      <c r="A113" s="3" t="s">
        <v>22</v>
      </c>
      <c r="B113" s="6">
        <v>2.653632489777732E-4</v>
      </c>
      <c r="C113" s="8" t="s">
        <v>143</v>
      </c>
      <c r="D113" s="33" t="s">
        <v>336</v>
      </c>
      <c r="E113" s="12">
        <v>894.03</v>
      </c>
      <c r="F113" s="13">
        <v>2551.37</v>
      </c>
      <c r="G113" s="13">
        <v>1972.34</v>
      </c>
      <c r="H113" s="13">
        <v>3215.47</v>
      </c>
      <c r="I113" s="13">
        <v>3601.86</v>
      </c>
      <c r="J113" s="12">
        <v>0</v>
      </c>
      <c r="K113" s="7">
        <f>$B113*'Janssen Payments'!I$22</f>
        <v>684.0206336801773</v>
      </c>
      <c r="L113" s="7">
        <f>$B113*'Janssen Payments'!J$22</f>
        <v>684.02063205918421</v>
      </c>
      <c r="M113" s="7">
        <f>$B113*'Janssen Payments'!K$22</f>
        <v>684.02062085630098</v>
      </c>
      <c r="N113" s="7">
        <f>$B113*'Janssen Payments'!L$22</f>
        <v>870.87791146944926</v>
      </c>
      <c r="O113" s="7">
        <f>$B113*'Janssen Payments'!M$22</f>
        <v>870.87791309044223</v>
      </c>
      <c r="P113" s="7">
        <f>$B113*'Janssen Payments'!N$22</f>
        <v>870.87791146944926</v>
      </c>
      <c r="Q113" s="7">
        <f>$B113*'Janssen Payments'!$O$22</f>
        <v>814.04766849952432</v>
      </c>
      <c r="R113" s="7">
        <v>0</v>
      </c>
      <c r="S113" s="7">
        <f t="shared" si="1"/>
        <v>17713.813291124527</v>
      </c>
    </row>
    <row r="114" spans="1:19" customFormat="1" x14ac:dyDescent="0.35">
      <c r="A114" s="3" t="s">
        <v>22</v>
      </c>
      <c r="B114" s="6">
        <v>1.8910157056897247E-4</v>
      </c>
      <c r="C114" s="8" t="s">
        <v>144</v>
      </c>
      <c r="D114" s="33" t="s">
        <v>336</v>
      </c>
      <c r="E114" s="12">
        <v>637.1</v>
      </c>
      <c r="F114" s="13">
        <v>1818.14</v>
      </c>
      <c r="G114" s="13">
        <v>1405.52</v>
      </c>
      <c r="H114" s="13">
        <v>2291.39</v>
      </c>
      <c r="I114" s="13">
        <v>2566.7399999999998</v>
      </c>
      <c r="J114" s="12">
        <v>0</v>
      </c>
      <c r="K114" s="7">
        <f>$B114*'Janssen Payments'!I$22</f>
        <v>487.4426908352317</v>
      </c>
      <c r="L114" s="7">
        <f>$B114*'Janssen Payments'!J$22</f>
        <v>487.4426896800893</v>
      </c>
      <c r="M114" s="7">
        <f>$B114*'Janssen Payments'!K$22</f>
        <v>487.44268169675769</v>
      </c>
      <c r="N114" s="7">
        <f>$B114*'Janssen Payments'!L$22</f>
        <v>620.59980599081882</v>
      </c>
      <c r="O114" s="7">
        <f>$B114*'Janssen Payments'!M$22</f>
        <v>620.59980714596122</v>
      </c>
      <c r="P114" s="7">
        <f>$B114*'Janssen Payments'!N$22</f>
        <v>620.59980599081882</v>
      </c>
      <c r="Q114" s="7">
        <f>$B114*'Janssen Payments'!$O$22</f>
        <v>580.10177831431395</v>
      </c>
      <c r="R114" s="7">
        <v>0</v>
      </c>
      <c r="S114" s="7">
        <f t="shared" si="1"/>
        <v>12623.119259653991</v>
      </c>
    </row>
    <row r="115" spans="1:19" customFormat="1" x14ac:dyDescent="0.35">
      <c r="A115" s="3" t="s">
        <v>60</v>
      </c>
      <c r="B115" s="6">
        <v>3.1803225690730543E-4</v>
      </c>
      <c r="C115" s="8" t="s">
        <v>145</v>
      </c>
      <c r="D115" s="33" t="s">
        <v>336</v>
      </c>
      <c r="E115" s="13">
        <v>1071.48</v>
      </c>
      <c r="F115" s="13">
        <v>3057.76</v>
      </c>
      <c r="G115" s="13">
        <v>2363.81</v>
      </c>
      <c r="H115" s="13">
        <v>3853.67</v>
      </c>
      <c r="I115" s="13">
        <v>4316.75</v>
      </c>
      <c r="J115" s="12">
        <v>0</v>
      </c>
      <c r="K115" s="7">
        <f>$B115*'Janssen Payments'!I$22</f>
        <v>819.78430222902944</v>
      </c>
      <c r="L115" s="7">
        <f>$B115*'Janssen Payments'!J$22</f>
        <v>819.78430028630339</v>
      </c>
      <c r="M115" s="7">
        <f>$B115*'Janssen Payments'!K$22</f>
        <v>819.78428685988411</v>
      </c>
      <c r="N115" s="7">
        <f>$B115*'Janssen Payments'!L$22</f>
        <v>1043.728808500337</v>
      </c>
      <c r="O115" s="7">
        <f>$B115*'Janssen Payments'!M$22</f>
        <v>1043.7288104430629</v>
      </c>
      <c r="P115" s="7">
        <f>$B115*'Janssen Payments'!N$22</f>
        <v>1043.728808500337</v>
      </c>
      <c r="Q115" s="7">
        <f>$B115*'Janssen Payments'!$O$22</f>
        <v>975.61896095385305</v>
      </c>
      <c r="R115" s="7">
        <v>0</v>
      </c>
      <c r="S115" s="7">
        <f t="shared" si="1"/>
        <v>21229.628277772808</v>
      </c>
    </row>
    <row r="116" spans="1:19" customFormat="1" x14ac:dyDescent="0.35">
      <c r="A116" s="3" t="s">
        <v>22</v>
      </c>
      <c r="B116" s="6">
        <v>1.0144930610537113E-3</v>
      </c>
      <c r="C116" s="8" t="s">
        <v>146</v>
      </c>
      <c r="D116" s="33" t="s">
        <v>336</v>
      </c>
      <c r="E116" s="13">
        <v>3417.93</v>
      </c>
      <c r="F116" s="13">
        <v>9753.98</v>
      </c>
      <c r="G116" s="13">
        <v>7540.33</v>
      </c>
      <c r="H116" s="13">
        <v>12292.84</v>
      </c>
      <c r="I116" s="13">
        <v>13770.04</v>
      </c>
      <c r="J116" s="12">
        <v>0</v>
      </c>
      <c r="K116" s="7">
        <f>$B116*'Janssen Payments'!I$22</f>
        <v>2615.0350101578169</v>
      </c>
      <c r="L116" s="7">
        <f>$B116*'Janssen Payments'!J$22</f>
        <v>2615.0350039607033</v>
      </c>
      <c r="M116" s="7">
        <f>$B116*'Janssen Payments'!K$22</f>
        <v>2615.0349611316851</v>
      </c>
      <c r="N116" s="7">
        <f>$B116*'Janssen Payments'!L$22</f>
        <v>3329.3969742008489</v>
      </c>
      <c r="O116" s="7">
        <f>$B116*'Janssen Payments'!M$22</f>
        <v>3329.3969803979626</v>
      </c>
      <c r="P116" s="7">
        <f>$B116*'Janssen Payments'!N$22</f>
        <v>3329.3969742008489</v>
      </c>
      <c r="Q116" s="7">
        <f>$B116*'Janssen Payments'!$O$22</f>
        <v>3112.1329507421428</v>
      </c>
      <c r="R116" s="7">
        <v>0</v>
      </c>
      <c r="S116" s="7">
        <f t="shared" si="1"/>
        <v>67720.54885479201</v>
      </c>
    </row>
    <row r="117" spans="1:19" customFormat="1" x14ac:dyDescent="0.35">
      <c r="A117" s="3" t="s">
        <v>22</v>
      </c>
      <c r="B117" s="6">
        <v>2.8316739108428678E-4</v>
      </c>
      <c r="C117" s="8" t="s">
        <v>147</v>
      </c>
      <c r="D117" s="33" t="s">
        <v>336</v>
      </c>
      <c r="E117" s="12">
        <v>954.02</v>
      </c>
      <c r="F117" s="13">
        <v>2722.55</v>
      </c>
      <c r="G117" s="13">
        <v>2104.67</v>
      </c>
      <c r="H117" s="13">
        <v>3431.2</v>
      </c>
      <c r="I117" s="13">
        <v>3843.52</v>
      </c>
      <c r="J117" s="12">
        <v>0</v>
      </c>
      <c r="K117" s="7">
        <f>$B117*'Janssen Payments'!I$22</f>
        <v>729.91395392230845</v>
      </c>
      <c r="L117" s="7">
        <f>$B117*'Janssen Payments'!J$22</f>
        <v>729.91395219255742</v>
      </c>
      <c r="M117" s="7">
        <f>$B117*'Janssen Payments'!K$22</f>
        <v>729.91394023803377</v>
      </c>
      <c r="N117" s="7">
        <f>$B117*'Janssen Payments'!L$22</f>
        <v>929.30813552253403</v>
      </c>
      <c r="O117" s="7">
        <f>$B117*'Janssen Payments'!M$22</f>
        <v>929.30813725228518</v>
      </c>
      <c r="P117" s="7">
        <f>$B117*'Janssen Payments'!N$22</f>
        <v>929.30813552253403</v>
      </c>
      <c r="Q117" s="7">
        <f>$B117*'Janssen Payments'!$O$22</f>
        <v>868.66495415333213</v>
      </c>
      <c r="R117" s="7">
        <v>0</v>
      </c>
      <c r="S117" s="7">
        <f t="shared" si="1"/>
        <v>18902.291208803585</v>
      </c>
    </row>
    <row r="118" spans="1:19" customFormat="1" x14ac:dyDescent="0.35">
      <c r="A118" s="3" t="s">
        <v>75</v>
      </c>
      <c r="B118" s="6">
        <v>1.19769044904E-3</v>
      </c>
      <c r="C118" s="8" t="s">
        <v>148</v>
      </c>
      <c r="D118" s="33" t="s">
        <v>336</v>
      </c>
      <c r="E118" s="13">
        <v>3914.73</v>
      </c>
      <c r="F118" s="13">
        <v>11171.73</v>
      </c>
      <c r="G118" s="13">
        <v>8636.32</v>
      </c>
      <c r="H118" s="13">
        <v>14079.62</v>
      </c>
      <c r="I118" s="13">
        <v>15771.53</v>
      </c>
      <c r="J118" s="12">
        <v>0</v>
      </c>
      <c r="K118" s="7">
        <f>$B118*'Janssen Payments'!I$22</f>
        <v>3087.2586277900778</v>
      </c>
      <c r="L118" s="7">
        <f>$B118*'Janssen Payments'!J$22</f>
        <v>3087.2586204738882</v>
      </c>
      <c r="M118" s="7">
        <f>$B118*'Janssen Payments'!K$22</f>
        <v>3087.2585699107963</v>
      </c>
      <c r="N118" s="7">
        <f>$B118*'Janssen Payments'!L$22</f>
        <v>3930.6202379751053</v>
      </c>
      <c r="O118" s="7">
        <f>$B118*'Janssen Payments'!M$22</f>
        <v>3930.6202452912953</v>
      </c>
      <c r="P118" s="7">
        <f>$B118*'Janssen Payments'!N$22</f>
        <v>3930.6202379751053</v>
      </c>
      <c r="Q118" s="7">
        <f>$B118*'Janssen Payments'!$O$22</f>
        <v>3674.122627684681</v>
      </c>
      <c r="R118" s="7">
        <v>0</v>
      </c>
      <c r="S118" s="7">
        <f t="shared" si="1"/>
        <v>78301.689167100965</v>
      </c>
    </row>
    <row r="119" spans="1:19" customFormat="1" x14ac:dyDescent="0.35">
      <c r="A119" s="3" t="s">
        <v>60</v>
      </c>
      <c r="B119" s="6">
        <v>2.7338015903711855E-6</v>
      </c>
      <c r="C119" s="8" t="s">
        <v>149</v>
      </c>
      <c r="D119" s="33" t="s">
        <v>338</v>
      </c>
      <c r="E119" s="12">
        <f>9.21+67.53</f>
        <v>76.740000000000009</v>
      </c>
      <c r="F119" s="12">
        <v>26.28</v>
      </c>
      <c r="G119" s="12">
        <v>20.32</v>
      </c>
      <c r="H119" s="12">
        <v>33.130000000000003</v>
      </c>
      <c r="I119" s="12">
        <v>37.11</v>
      </c>
      <c r="J119" s="12">
        <v>0</v>
      </c>
      <c r="K119" s="51">
        <f>$B119*'Janssen Payments'!I$22</f>
        <v>7.0468563503237931</v>
      </c>
      <c r="L119" s="51">
        <f>$B119*'Janssen Payments'!J$22</f>
        <v>7.0468563336241425</v>
      </c>
      <c r="M119" s="51">
        <f>$B119*'Janssen Payments'!K$22</f>
        <v>7.0468562182107979</v>
      </c>
      <c r="N119" s="51">
        <f>$B119*'Janssen Payments'!L$22</f>
        <v>8.9718807278913477</v>
      </c>
      <c r="O119" s="51">
        <f>$B119*'Janssen Payments'!M$22</f>
        <v>8.9718807445909974</v>
      </c>
      <c r="P119" s="51">
        <f>$B119*'Janssen Payments'!N$22</f>
        <v>8.9718807278913477</v>
      </c>
      <c r="Q119" s="51">
        <f>$B119*'Janssen Payments'!$O$22</f>
        <v>8.3864092686337219</v>
      </c>
      <c r="R119" s="7">
        <v>0</v>
      </c>
      <c r="S119" s="7">
        <f>E119+F119+G119+H119+I119</f>
        <v>193.57999999999998</v>
      </c>
    </row>
    <row r="120" spans="1:19" customFormat="1" x14ac:dyDescent="0.35">
      <c r="A120" s="3" t="s">
        <v>34</v>
      </c>
      <c r="B120" s="6">
        <v>4.1241238073282355E-4</v>
      </c>
      <c r="C120" s="8" t="s">
        <v>150</v>
      </c>
      <c r="D120" s="33" t="s">
        <v>336</v>
      </c>
      <c r="E120" s="13">
        <v>1389.46</v>
      </c>
      <c r="F120" s="13">
        <v>3965.19</v>
      </c>
      <c r="G120" s="13">
        <v>3065.3</v>
      </c>
      <c r="H120" s="13">
        <v>4997.3</v>
      </c>
      <c r="I120" s="13">
        <v>5597.81</v>
      </c>
      <c r="J120" s="12">
        <v>0</v>
      </c>
      <c r="K120" s="7">
        <f>$B120*'Janssen Payments'!I$22</f>
        <v>1063.0657375997271</v>
      </c>
      <c r="L120" s="7">
        <f>$B120*'Janssen Payments'!J$22</f>
        <v>1063.0657350804725</v>
      </c>
      <c r="M120" s="7">
        <f>$B120*'Janssen Payments'!K$22</f>
        <v>1063.0657176695922</v>
      </c>
      <c r="N120" s="7">
        <f>$B120*'Janssen Payments'!L$22</f>
        <v>1353.4686290595876</v>
      </c>
      <c r="O120" s="7">
        <f>$B120*'Janssen Payments'!M$22</f>
        <v>1353.4686315788422</v>
      </c>
      <c r="P120" s="7">
        <f>$B120*'Janssen Payments'!N$22</f>
        <v>1353.4686290595876</v>
      </c>
      <c r="Q120" s="7">
        <f>$B120*'Janssen Payments'!$O$22</f>
        <v>1265.1463165647829</v>
      </c>
      <c r="R120" s="7">
        <v>0</v>
      </c>
      <c r="S120" s="7">
        <f t="shared" si="1"/>
        <v>27529.8093966126</v>
      </c>
    </row>
    <row r="121" spans="1:19" customFormat="1" x14ac:dyDescent="0.35">
      <c r="A121" s="3" t="s">
        <v>34</v>
      </c>
      <c r="B121" s="6">
        <v>1.648818359426535E-4</v>
      </c>
      <c r="C121" s="8" t="s">
        <v>151</v>
      </c>
      <c r="D121" s="33" t="s">
        <v>336</v>
      </c>
      <c r="E121" s="12">
        <v>555.5</v>
      </c>
      <c r="F121" s="13">
        <v>1585.28</v>
      </c>
      <c r="G121" s="13">
        <v>1225.5</v>
      </c>
      <c r="H121" s="13">
        <v>1997.91</v>
      </c>
      <c r="I121" s="13">
        <v>2237.9899999999998</v>
      </c>
      <c r="J121" s="12">
        <v>0</v>
      </c>
      <c r="K121" s="7">
        <f>$B121*'Janssen Payments'!I$22</f>
        <v>425.01204796935366</v>
      </c>
      <c r="L121" s="7">
        <f>$B121*'Janssen Payments'!J$22</f>
        <v>425.0120469621595</v>
      </c>
      <c r="M121" s="7">
        <f>$B121*'Janssen Payments'!K$22</f>
        <v>425.01204000131634</v>
      </c>
      <c r="N121" s="7">
        <f>$B121*'Janssen Payments'!L$22</f>
        <v>541.1146776282261</v>
      </c>
      <c r="O121" s="7">
        <f>$B121*'Janssen Payments'!M$22</f>
        <v>541.1146786354202</v>
      </c>
      <c r="P121" s="7">
        <f>$B121*'Janssen Payments'!N$22</f>
        <v>541.1146776282261</v>
      </c>
      <c r="Q121" s="7">
        <f>$B121*'Janssen Payments'!$O$22</f>
        <v>505.80355284344796</v>
      </c>
      <c r="R121" s="7">
        <v>0</v>
      </c>
      <c r="S121" s="7">
        <f t="shared" si="1"/>
        <v>11006.363721668149</v>
      </c>
    </row>
    <row r="122" spans="1:19" customFormat="1" x14ac:dyDescent="0.35">
      <c r="A122" s="3" t="s">
        <v>22</v>
      </c>
      <c r="B122" s="6">
        <v>2.1927641004900787E-4</v>
      </c>
      <c r="C122" s="8" t="s">
        <v>152</v>
      </c>
      <c r="D122" s="33" t="s">
        <v>336</v>
      </c>
      <c r="E122" s="12">
        <v>738.76</v>
      </c>
      <c r="F122" s="13">
        <v>2108.2600000000002</v>
      </c>
      <c r="G122" s="13">
        <v>1629.79</v>
      </c>
      <c r="H122" s="13">
        <v>2657.02</v>
      </c>
      <c r="I122" s="13">
        <v>2976.31</v>
      </c>
      <c r="J122" s="12">
        <v>0</v>
      </c>
      <c r="K122" s="7">
        <f>$B122*'Janssen Payments'!I$22</f>
        <v>565.22366804982812</v>
      </c>
      <c r="L122" s="7">
        <f>$B122*'Janssen Payments'!J$22</f>
        <v>565.22366671036025</v>
      </c>
      <c r="M122" s="7">
        <f>$B122*'Janssen Payments'!K$22</f>
        <v>565.22365745313255</v>
      </c>
      <c r="N122" s="7">
        <f>$B122*'Janssen Payments'!L$22</f>
        <v>719.62859496792476</v>
      </c>
      <c r="O122" s="7">
        <f>$B122*'Janssen Payments'!M$22</f>
        <v>719.62859630739263</v>
      </c>
      <c r="P122" s="7">
        <f>$B122*'Janssen Payments'!N$22</f>
        <v>719.62859496792476</v>
      </c>
      <c r="Q122" s="7">
        <f>$B122*'Janssen Payments'!$O$22</f>
        <v>672.66831803183027</v>
      </c>
      <c r="R122" s="7">
        <v>0</v>
      </c>
      <c r="S122" s="7">
        <f t="shared" si="1"/>
        <v>14637.365096488393</v>
      </c>
    </row>
    <row r="123" spans="1:19" customFormat="1" x14ac:dyDescent="0.35">
      <c r="A123" s="3" t="s">
        <v>153</v>
      </c>
      <c r="B123" s="6">
        <v>4.1796783504000007E-3</v>
      </c>
      <c r="C123" s="8" t="s">
        <v>153</v>
      </c>
      <c r="D123" s="33" t="s">
        <v>336</v>
      </c>
      <c r="E123" s="13">
        <v>13661.54</v>
      </c>
      <c r="F123" s="13">
        <v>38986.910000000003</v>
      </c>
      <c r="G123" s="13">
        <v>30138.880000000001</v>
      </c>
      <c r="H123" s="13">
        <v>49134.81</v>
      </c>
      <c r="I123" s="13">
        <v>55039.199999999997</v>
      </c>
      <c r="J123" s="12">
        <v>0</v>
      </c>
      <c r="K123" s="7">
        <f>$B123*'Janssen Payments'!I$22</f>
        <v>10773.859020920396</v>
      </c>
      <c r="L123" s="7">
        <f>$B123*'Janssen Payments'!J$22</f>
        <v>10773.858995388489</v>
      </c>
      <c r="M123" s="7">
        <f>$B123*'Janssen Payments'!K$22</f>
        <v>10773.858818934332</v>
      </c>
      <c r="N123" s="7">
        <f>$B123*'Janssen Payments'!L$22</f>
        <v>13717.007032557514</v>
      </c>
      <c r="O123" s="7">
        <f>$B123*'Janssen Payments'!M$22</f>
        <v>13717.007058089419</v>
      </c>
      <c r="P123" s="7">
        <f>$B123*'Janssen Payments'!N$22</f>
        <v>13717.007032557514</v>
      </c>
      <c r="Q123" s="7">
        <f>$B123*'Janssen Payments'!$O$22</f>
        <v>12821.88633628784</v>
      </c>
      <c r="R123" s="7">
        <v>0</v>
      </c>
      <c r="S123" s="7">
        <f t="shared" si="1"/>
        <v>273255.8242947355</v>
      </c>
    </row>
    <row r="124" spans="1:19" customFormat="1" x14ac:dyDescent="0.35">
      <c r="A124" s="3" t="s">
        <v>24</v>
      </c>
      <c r="B124" s="6">
        <v>1.6339863075205124E-4</v>
      </c>
      <c r="C124" s="8" t="s">
        <v>154</v>
      </c>
      <c r="D124" s="33" t="s">
        <v>336</v>
      </c>
      <c r="E124" s="12">
        <v>550.51</v>
      </c>
      <c r="F124" s="13">
        <v>1571.02</v>
      </c>
      <c r="G124" s="13">
        <v>1214.48</v>
      </c>
      <c r="H124" s="13">
        <v>1979.94</v>
      </c>
      <c r="I124" s="13">
        <v>2217.86</v>
      </c>
      <c r="J124" s="12">
        <v>0</v>
      </c>
      <c r="K124" s="7">
        <f>$B124*'Janssen Payments'!I$22</f>
        <v>421.18882467727502</v>
      </c>
      <c r="L124" s="7">
        <f>$B124*'Janssen Payments'!J$22</f>
        <v>421.18882367914114</v>
      </c>
      <c r="M124" s="7">
        <f>$B124*'Janssen Payments'!K$22</f>
        <v>421.18881678091469</v>
      </c>
      <c r="N124" s="7">
        <f>$B124*'Janssen Payments'!L$22</f>
        <v>536.24704564207821</v>
      </c>
      <c r="O124" s="7">
        <f>$B124*'Janssen Payments'!M$22</f>
        <v>536.24704664021203</v>
      </c>
      <c r="P124" s="7">
        <f>$B124*'Janssen Payments'!N$22</f>
        <v>536.24704564207821</v>
      </c>
      <c r="Q124" s="7">
        <f>$B124*'Janssen Payments'!$O$22</f>
        <v>501.25356435797647</v>
      </c>
      <c r="R124" s="7">
        <v>0</v>
      </c>
      <c r="S124" s="7">
        <f t="shared" si="1"/>
        <v>10907.371167419673</v>
      </c>
    </row>
    <row r="125" spans="1:19" customFormat="1" x14ac:dyDescent="0.35">
      <c r="A125" s="3" t="s">
        <v>155</v>
      </c>
      <c r="B125" s="6">
        <v>9.2743876713565832E-4</v>
      </c>
      <c r="C125" s="8" t="s">
        <v>156</v>
      </c>
      <c r="D125" s="33" t="s">
        <v>336</v>
      </c>
      <c r="E125" s="13">
        <v>3124.63</v>
      </c>
      <c r="F125" s="13">
        <v>8916.98</v>
      </c>
      <c r="G125" s="13">
        <v>6893.29</v>
      </c>
      <c r="H125" s="13">
        <v>11237.99</v>
      </c>
      <c r="I125" s="13">
        <v>12588.42</v>
      </c>
      <c r="J125" s="12">
        <v>0</v>
      </c>
      <c r="K125" s="7">
        <f>$B125*'Janssen Payments'!I$22</f>
        <v>2390.6371950127564</v>
      </c>
      <c r="L125" s="7">
        <f>$B125*'Janssen Payments'!J$22</f>
        <v>2390.6371893474211</v>
      </c>
      <c r="M125" s="7">
        <f>$B125*'Janssen Payments'!K$22</f>
        <v>2390.6371501935882</v>
      </c>
      <c r="N125" s="7">
        <f>$B125*'Janssen Payments'!L$22</f>
        <v>3043.6993051986437</v>
      </c>
      <c r="O125" s="7">
        <f>$B125*'Janssen Payments'!M$22</f>
        <v>3043.699310863979</v>
      </c>
      <c r="P125" s="7">
        <f>$B125*'Janssen Payments'!N$22</f>
        <v>3043.6993051986437</v>
      </c>
      <c r="Q125" s="7">
        <f>$B125*'Janssen Payments'!$O$22</f>
        <v>2845.0788455868387</v>
      </c>
      <c r="R125" s="7">
        <v>0</v>
      </c>
      <c r="S125" s="7">
        <f t="shared" si="1"/>
        <v>61909.398301401867</v>
      </c>
    </row>
    <row r="126" spans="1:19" customFormat="1" x14ac:dyDescent="0.35">
      <c r="A126" s="3" t="s">
        <v>34</v>
      </c>
      <c r="B126" s="6">
        <v>2.2960860734267823E-5</v>
      </c>
      <c r="C126" s="8" t="s">
        <v>157</v>
      </c>
      <c r="D126" s="33" t="s">
        <v>336</v>
      </c>
      <c r="E126" s="12">
        <v>77.36</v>
      </c>
      <c r="F126" s="12">
        <v>220.76</v>
      </c>
      <c r="G126" s="12">
        <v>170.66</v>
      </c>
      <c r="H126" s="12">
        <v>278.22000000000003</v>
      </c>
      <c r="I126" s="12">
        <v>311.66000000000003</v>
      </c>
      <c r="J126" s="12">
        <v>0</v>
      </c>
      <c r="K126" s="7">
        <f>$B126*'Janssen Payments'!I$22</f>
        <v>59.185673109586041</v>
      </c>
      <c r="L126" s="7">
        <f>$B126*'Janssen Payments'!J$22</f>
        <v>59.185672969327754</v>
      </c>
      <c r="M126" s="7">
        <f>$B126*'Janssen Payments'!K$22</f>
        <v>59.185671999985374</v>
      </c>
      <c r="N126" s="7">
        <f>$B126*'Janssen Payments'!L$22</f>
        <v>75.35371427214821</v>
      </c>
      <c r="O126" s="7">
        <f>$B126*'Janssen Payments'!M$22</f>
        <v>75.353714412406489</v>
      </c>
      <c r="P126" s="7">
        <f>$B126*'Janssen Payments'!N$22</f>
        <v>75.35371427214821</v>
      </c>
      <c r="Q126" s="7">
        <f>$B126*'Janssen Payments'!$O$22</f>
        <v>70.436412048296006</v>
      </c>
      <c r="R126" s="7">
        <v>0</v>
      </c>
      <c r="S126" s="7">
        <f t="shared" si="1"/>
        <v>1532.7145730838981</v>
      </c>
    </row>
    <row r="127" spans="1:19" customFormat="1" x14ac:dyDescent="0.35">
      <c r="A127" s="3" t="s">
        <v>158</v>
      </c>
      <c r="B127" s="6">
        <v>2.4927201566399999E-3</v>
      </c>
      <c r="C127" s="8" t="s">
        <v>158</v>
      </c>
      <c r="D127" s="33" t="s">
        <v>336</v>
      </c>
      <c r="E127" s="13">
        <v>8147.61</v>
      </c>
      <c r="F127" s="13">
        <v>23251.42</v>
      </c>
      <c r="G127" s="13">
        <v>17974.54</v>
      </c>
      <c r="H127" s="13">
        <v>29303.53</v>
      </c>
      <c r="I127" s="13">
        <v>32824.85</v>
      </c>
      <c r="J127" s="12">
        <v>0</v>
      </c>
      <c r="K127" s="7">
        <f>$B127*'Janssen Payments'!I$22</f>
        <v>6425.4263832708057</v>
      </c>
      <c r="L127" s="7">
        <f>$B127*'Janssen Payments'!J$22</f>
        <v>6425.4263680438207</v>
      </c>
      <c r="M127" s="7">
        <f>$B127*'Janssen Payments'!K$22</f>
        <v>6425.4262628082506</v>
      </c>
      <c r="N127" s="7">
        <f>$B127*'Janssen Payments'!L$22</f>
        <v>8180.6916830230402</v>
      </c>
      <c r="O127" s="7">
        <f>$B127*'Janssen Payments'!M$22</f>
        <v>8180.6916982500243</v>
      </c>
      <c r="P127" s="7">
        <f>$B127*'Janssen Payments'!N$22</f>
        <v>8180.6916830230402</v>
      </c>
      <c r="Q127" s="7">
        <f>$B127*'Janssen Payments'!$O$22</f>
        <v>7646.8502686463789</v>
      </c>
      <c r="R127" s="7">
        <v>0</v>
      </c>
      <c r="S127" s="7">
        <f t="shared" si="1"/>
        <v>162967.15434706534</v>
      </c>
    </row>
    <row r="128" spans="1:19" customFormat="1" x14ac:dyDescent="0.35">
      <c r="A128" s="3" t="s">
        <v>22</v>
      </c>
      <c r="B128" s="6">
        <v>4.0472692288000007E-4</v>
      </c>
      <c r="C128" s="8" t="s">
        <v>159</v>
      </c>
      <c r="D128" s="33" t="s">
        <v>336</v>
      </c>
      <c r="E128" s="13">
        <v>1322.88</v>
      </c>
      <c r="F128" s="13">
        <v>3775.18</v>
      </c>
      <c r="G128" s="13">
        <v>2918.41</v>
      </c>
      <c r="H128" s="13">
        <v>4757.83</v>
      </c>
      <c r="I128" s="13">
        <v>5329.56</v>
      </c>
      <c r="J128" s="12">
        <v>0</v>
      </c>
      <c r="K128" s="7">
        <f>$B128*'Janssen Payments'!I$22</f>
        <v>1043.2551128396613</v>
      </c>
      <c r="L128" s="7">
        <f>$B128*'Janssen Payments'!J$22</f>
        <v>1043.2551103673538</v>
      </c>
      <c r="M128" s="7">
        <f>$B128*'Janssen Payments'!K$22</f>
        <v>1043.2550932809318</v>
      </c>
      <c r="N128" s="7">
        <f>$B128*'Janssen Payments'!L$22</f>
        <v>1328.2462385841302</v>
      </c>
      <c r="O128" s="7">
        <f>$B128*'Janssen Payments'!M$22</f>
        <v>1328.2462410564376</v>
      </c>
      <c r="P128" s="7">
        <f>$B128*'Janssen Payments'!N$22</f>
        <v>1328.2462385841302</v>
      </c>
      <c r="Q128" s="7">
        <f>$B128*'Janssen Payments'!$O$22</f>
        <v>1241.5698451787005</v>
      </c>
      <c r="R128" s="7">
        <v>0</v>
      </c>
      <c r="S128" s="7">
        <f t="shared" si="1"/>
        <v>26459.933879891349</v>
      </c>
    </row>
    <row r="129" spans="1:19" customFormat="1" x14ac:dyDescent="0.35">
      <c r="A129" s="3" t="s">
        <v>160</v>
      </c>
      <c r="B129" s="6">
        <v>1.6409123780693306E-3</v>
      </c>
      <c r="C129" s="8" t="s">
        <v>160</v>
      </c>
      <c r="D129" s="33" t="s">
        <v>336</v>
      </c>
      <c r="E129" s="13">
        <v>5528.39</v>
      </c>
      <c r="F129" s="13">
        <v>15776.77</v>
      </c>
      <c r="G129" s="13">
        <v>12196.25</v>
      </c>
      <c r="H129" s="13">
        <v>19883.310000000001</v>
      </c>
      <c r="I129" s="13">
        <v>22272.63</v>
      </c>
      <c r="J129" s="12">
        <v>0</v>
      </c>
      <c r="K129" s="7">
        <f>$B129*'Janssen Payments'!I$22</f>
        <v>4229.7414166595609</v>
      </c>
      <c r="L129" s="7">
        <f>$B129*'Janssen Payments'!J$22</f>
        <v>4229.7414066359133</v>
      </c>
      <c r="M129" s="7">
        <f>$B129*'Janssen Payments'!K$22</f>
        <v>4229.7413373612499</v>
      </c>
      <c r="N129" s="7">
        <f>$B129*'Janssen Payments'!L$22</f>
        <v>5385.2006644562962</v>
      </c>
      <c r="O129" s="7">
        <f>$B129*'Janssen Payments'!M$22</f>
        <v>5385.2006744799437</v>
      </c>
      <c r="P129" s="7">
        <f>$B129*'Janssen Payments'!N$22</f>
        <v>5385.2006644562962</v>
      </c>
      <c r="Q129" s="7">
        <f>$B129*'Janssen Payments'!$O$22</f>
        <v>5033.7825630527814</v>
      </c>
      <c r="R129" s="7">
        <v>0</v>
      </c>
      <c r="S129" s="7">
        <f t="shared" si="1"/>
        <v>109535.95872710204</v>
      </c>
    </row>
    <row r="130" spans="1:19" customFormat="1" x14ac:dyDescent="0.35">
      <c r="A130" s="3" t="s">
        <v>34</v>
      </c>
      <c r="B130" s="6">
        <v>4.6228212324811761E-4</v>
      </c>
      <c r="C130" s="8" t="s">
        <v>161</v>
      </c>
      <c r="D130" s="33" t="s">
        <v>336</v>
      </c>
      <c r="E130" s="13">
        <v>1557.47</v>
      </c>
      <c r="F130" s="13">
        <v>4444.67</v>
      </c>
      <c r="G130" s="13">
        <v>3435.96</v>
      </c>
      <c r="H130" s="13">
        <v>5601.58</v>
      </c>
      <c r="I130" s="13">
        <v>6274.7</v>
      </c>
      <c r="J130" s="12">
        <v>0</v>
      </c>
      <c r="K130" s="7">
        <f>$B130*'Janssen Payments'!I$22</f>
        <v>1191.6138052322422</v>
      </c>
      <c r="L130" s="7">
        <f>$B130*'Janssen Payments'!J$22</f>
        <v>1191.6138024083541</v>
      </c>
      <c r="M130" s="7">
        <f>$B130*'Janssen Payments'!K$22</f>
        <v>1191.6137828921148</v>
      </c>
      <c r="N130" s="7">
        <f>$B130*'Janssen Payments'!L$22</f>
        <v>1517.1328040142596</v>
      </c>
      <c r="O130" s="7">
        <f>$B130*'Janssen Payments'!M$22</f>
        <v>1517.1328068381476</v>
      </c>
      <c r="P130" s="7">
        <f>$B130*'Janssen Payments'!N$22</f>
        <v>1517.1328040142596</v>
      </c>
      <c r="Q130" s="7">
        <f>$B130*'Janssen Payments'!$O$22</f>
        <v>1418.1303781469014</v>
      </c>
      <c r="R130" s="7">
        <v>0</v>
      </c>
      <c r="S130" s="7">
        <f t="shared" si="1"/>
        <v>30858.750183546283</v>
      </c>
    </row>
    <row r="131" spans="1:19" customFormat="1" x14ac:dyDescent="0.35">
      <c r="A131" s="3" t="s">
        <v>90</v>
      </c>
      <c r="B131" s="6">
        <v>2.3910807429600001E-2</v>
      </c>
      <c r="C131" s="8" t="s">
        <v>90</v>
      </c>
      <c r="D131" s="33" t="s">
        <v>336</v>
      </c>
      <c r="E131" s="13">
        <v>78153.97</v>
      </c>
      <c r="F131" s="13">
        <v>223033.52</v>
      </c>
      <c r="G131" s="13">
        <v>172416.35</v>
      </c>
      <c r="H131" s="13">
        <v>281086.95</v>
      </c>
      <c r="I131" s="13">
        <v>314864.37</v>
      </c>
      <c r="J131" s="12">
        <v>0</v>
      </c>
      <c r="K131" s="7">
        <f>$B131*'Janssen Payments'!I$22</f>
        <v>61634.328464110782</v>
      </c>
      <c r="L131" s="7">
        <f>$B131*'Janssen Payments'!J$22</f>
        <v>61634.328318049666</v>
      </c>
      <c r="M131" s="7">
        <f>$B131*'Janssen Payments'!K$22</f>
        <v>61634.327308603235</v>
      </c>
      <c r="N131" s="7">
        <f>$B131*'Janssen Payments'!L$22</f>
        <v>78471.280842594759</v>
      </c>
      <c r="O131" s="7">
        <f>$B131*'Janssen Payments'!M$22</f>
        <v>78471.280988655883</v>
      </c>
      <c r="P131" s="7">
        <f>$B131*'Janssen Payments'!N$22</f>
        <v>78471.280842594759</v>
      </c>
      <c r="Q131" s="7">
        <f>$B131*'Janssen Payments'!$O$22</f>
        <v>73350.537857023795</v>
      </c>
      <c r="R131" s="7">
        <v>0</v>
      </c>
      <c r="S131" s="7">
        <f t="shared" si="1"/>
        <v>1563222.5246216333</v>
      </c>
    </row>
    <row r="132" spans="1:19" customFormat="1" x14ac:dyDescent="0.35">
      <c r="A132" s="3" t="s">
        <v>22</v>
      </c>
      <c r="B132" s="6">
        <v>9.3502969578928511E-4</v>
      </c>
      <c r="C132" s="8" t="s">
        <v>162</v>
      </c>
      <c r="D132" s="33" t="s">
        <v>336</v>
      </c>
      <c r="E132" s="13">
        <v>3150.21</v>
      </c>
      <c r="F132" s="13">
        <v>8989.9699999999993</v>
      </c>
      <c r="G132" s="13">
        <v>6949.71</v>
      </c>
      <c r="H132" s="13">
        <v>11329.97</v>
      </c>
      <c r="I132" s="13">
        <v>12691.46</v>
      </c>
      <c r="J132" s="12">
        <v>0</v>
      </c>
      <c r="K132" s="7">
        <f>$B132*'Janssen Payments'!I$22</f>
        <v>2410.2041540693576</v>
      </c>
      <c r="L132" s="7">
        <f>$B132*'Janssen Payments'!J$22</f>
        <v>2410.2041483576527</v>
      </c>
      <c r="M132" s="7">
        <f>$B132*'Janssen Payments'!K$22</f>
        <v>2410.2041088833525</v>
      </c>
      <c r="N132" s="7">
        <f>$B132*'Janssen Payments'!L$22</f>
        <v>3068.6114666130443</v>
      </c>
      <c r="O132" s="7">
        <f>$B132*'Janssen Payments'!M$22</f>
        <v>3068.6114723247497</v>
      </c>
      <c r="P132" s="7">
        <f>$B132*'Janssen Payments'!N$22</f>
        <v>3068.6114666130443</v>
      </c>
      <c r="Q132" s="7">
        <f>$B132*'Janssen Payments'!$O$22</f>
        <v>2868.3653323028225</v>
      </c>
      <c r="R132" s="7">
        <v>0</v>
      </c>
      <c r="S132" s="7">
        <f t="shared" ref="S132:S195" si="2">SUM(E132:R132)</f>
        <v>62416.132149164026</v>
      </c>
    </row>
    <row r="133" spans="1:19" customFormat="1" x14ac:dyDescent="0.35">
      <c r="A133" s="3" t="s">
        <v>163</v>
      </c>
      <c r="B133" s="6">
        <v>2.51632892704675E-4</v>
      </c>
      <c r="C133" s="8" t="s">
        <v>164</v>
      </c>
      <c r="D133" s="33" t="s">
        <v>336</v>
      </c>
      <c r="E133" s="12">
        <v>847.78</v>
      </c>
      <c r="F133" s="13">
        <v>2419.36</v>
      </c>
      <c r="G133" s="13">
        <v>1870.29</v>
      </c>
      <c r="H133" s="13">
        <v>3049.09</v>
      </c>
      <c r="I133" s="13">
        <v>3415.49</v>
      </c>
      <c r="J133" s="12">
        <v>0</v>
      </c>
      <c r="K133" s="7">
        <f>$B133*'Janssen Payments'!I$22</f>
        <v>648.62821579730053</v>
      </c>
      <c r="L133" s="7">
        <f>$B133*'Janssen Payments'!J$22</f>
        <v>648.62821426018047</v>
      </c>
      <c r="M133" s="7">
        <f>$B133*'Janssen Payments'!K$22</f>
        <v>648.6282036369538</v>
      </c>
      <c r="N133" s="7">
        <f>$B133*'Janssen Payments'!L$22</f>
        <v>825.81717287467586</v>
      </c>
      <c r="O133" s="7">
        <f>$B133*'Janssen Payments'!M$22</f>
        <v>825.8171744117958</v>
      </c>
      <c r="P133" s="7">
        <f>$B133*'Janssen Payments'!N$22</f>
        <v>825.81717287467586</v>
      </c>
      <c r="Q133" s="7">
        <f>$B133*'Janssen Payments'!$O$22</f>
        <v>771.92742556897588</v>
      </c>
      <c r="R133" s="7">
        <v>0</v>
      </c>
      <c r="S133" s="7">
        <f t="shared" si="2"/>
        <v>16797.27357942456</v>
      </c>
    </row>
    <row r="134" spans="1:19" customFormat="1" x14ac:dyDescent="0.35">
      <c r="A134" s="3" t="s">
        <v>163</v>
      </c>
      <c r="B134" s="6">
        <v>5.2980870657599998E-3</v>
      </c>
      <c r="C134" s="8" t="s">
        <v>163</v>
      </c>
      <c r="D134" s="33" t="s">
        <v>336</v>
      </c>
      <c r="E134" s="13">
        <v>17317.13</v>
      </c>
      <c r="F134" s="13">
        <v>49419.12</v>
      </c>
      <c r="G134" s="13">
        <v>38203.51</v>
      </c>
      <c r="H134" s="13">
        <v>62282.43</v>
      </c>
      <c r="I134" s="13">
        <v>69766.73</v>
      </c>
      <c r="J134" s="12">
        <v>0</v>
      </c>
      <c r="K134" s="7">
        <f>$B134*'Janssen Payments'!I$22</f>
        <v>13656.754980104468</v>
      </c>
      <c r="L134" s="7">
        <f>$B134*'Janssen Payments'!J$22</f>
        <v>13656.754947740672</v>
      </c>
      <c r="M134" s="7">
        <f>$B134*'Janssen Payments'!K$22</f>
        <v>13656.754724070472</v>
      </c>
      <c r="N134" s="7">
        <f>$B134*'Janssen Payments'!L$22</f>
        <v>17387.43784750253</v>
      </c>
      <c r="O134" s="7">
        <f>$B134*'Janssen Payments'!M$22</f>
        <v>17387.437879866327</v>
      </c>
      <c r="P134" s="7">
        <f>$B134*'Janssen Payments'!N$22</f>
        <v>17387.43784750253</v>
      </c>
      <c r="Q134" s="7">
        <f>$B134*'Janssen Payments'!$O$22</f>
        <v>16252.798531836868</v>
      </c>
      <c r="R134" s="7">
        <v>0</v>
      </c>
      <c r="S134" s="7">
        <f t="shared" si="2"/>
        <v>346374.29675862391</v>
      </c>
    </row>
    <row r="135" spans="1:19" customFormat="1" x14ac:dyDescent="0.35">
      <c r="A135" s="3" t="s">
        <v>165</v>
      </c>
      <c r="B135" s="6">
        <v>3.5979730057600005E-3</v>
      </c>
      <c r="C135" s="8" t="s">
        <v>165</v>
      </c>
      <c r="D135" s="33" t="s">
        <v>336</v>
      </c>
      <c r="E135" s="13">
        <v>11760.2</v>
      </c>
      <c r="F135" s="13">
        <v>33560.92</v>
      </c>
      <c r="G135" s="13">
        <v>25944.31</v>
      </c>
      <c r="H135" s="13">
        <v>42296.49</v>
      </c>
      <c r="I135" s="13">
        <v>47379.14</v>
      </c>
      <c r="J135" s="12">
        <v>0</v>
      </c>
      <c r="K135" s="7">
        <f>$B135*'Janssen Payments'!I$22</f>
        <v>9274.410774079226</v>
      </c>
      <c r="L135" s="7">
        <f>$B135*'Janssen Payments'!J$22</f>
        <v>9274.4107521007136</v>
      </c>
      <c r="M135" s="7">
        <f>$B135*'Janssen Payments'!K$22</f>
        <v>9274.4106002045046</v>
      </c>
      <c r="N135" s="7">
        <f>$B135*'Janssen Payments'!L$22</f>
        <v>11807.94713981731</v>
      </c>
      <c r="O135" s="7">
        <f>$B135*'Janssen Payments'!M$22</f>
        <v>11807.947161795822</v>
      </c>
      <c r="P135" s="7">
        <f>$B135*'Janssen Payments'!N$22</f>
        <v>11807.94713981731</v>
      </c>
      <c r="Q135" s="7">
        <f>$B135*'Janssen Payments'!$O$22</f>
        <v>11037.404568816084</v>
      </c>
      <c r="R135" s="7">
        <v>0</v>
      </c>
      <c r="S135" s="7">
        <f t="shared" si="2"/>
        <v>235225.53813663102</v>
      </c>
    </row>
    <row r="136" spans="1:19" customFormat="1" x14ac:dyDescent="0.35">
      <c r="A136" s="3" t="s">
        <v>166</v>
      </c>
      <c r="B136" s="6">
        <v>1.23477897536E-3</v>
      </c>
      <c r="C136" s="8" t="s">
        <v>166</v>
      </c>
      <c r="D136" s="33" t="s">
        <v>336</v>
      </c>
      <c r="E136" s="13">
        <v>4035.95</v>
      </c>
      <c r="F136" s="13">
        <v>11517.68</v>
      </c>
      <c r="G136" s="13">
        <v>8903.76</v>
      </c>
      <c r="H136" s="13">
        <v>14515.62</v>
      </c>
      <c r="I136" s="13">
        <v>16259.92</v>
      </c>
      <c r="J136" s="12">
        <v>0</v>
      </c>
      <c r="K136" s="7">
        <f>$B136*'Janssen Payments'!I$22</f>
        <v>3182.8608536951251</v>
      </c>
      <c r="L136" s="7">
        <f>$B136*'Janssen Payments'!J$22</f>
        <v>3182.8608461523768</v>
      </c>
      <c r="M136" s="7">
        <f>$B136*'Janssen Payments'!K$22</f>
        <v>3182.8607940235129</v>
      </c>
      <c r="N136" s="7">
        <f>$B136*'Janssen Payments'!L$22</f>
        <v>4052.3385937212947</v>
      </c>
      <c r="O136" s="7">
        <f>$B136*'Janssen Payments'!M$22</f>
        <v>4052.3386012640431</v>
      </c>
      <c r="P136" s="7">
        <f>$B136*'Janssen Payments'!N$22</f>
        <v>4052.3385937212947</v>
      </c>
      <c r="Q136" s="7">
        <f>$B136*'Janssen Payments'!$O$22</f>
        <v>3787.8980977061838</v>
      </c>
      <c r="R136" s="7">
        <v>0</v>
      </c>
      <c r="S136" s="7">
        <f t="shared" si="2"/>
        <v>80726.426380283825</v>
      </c>
    </row>
    <row r="137" spans="1:19" customFormat="1" x14ac:dyDescent="0.35">
      <c r="A137" s="3" t="s">
        <v>98</v>
      </c>
      <c r="B137" s="6">
        <v>1.0289042960000001E-4</v>
      </c>
      <c r="C137" s="8" t="s">
        <v>167</v>
      </c>
      <c r="D137" s="33" t="s">
        <v>336</v>
      </c>
      <c r="E137" s="12">
        <v>336.3</v>
      </c>
      <c r="F137" s="12">
        <v>959.73</v>
      </c>
      <c r="G137" s="12">
        <v>741.92</v>
      </c>
      <c r="H137" s="13">
        <v>1209.54</v>
      </c>
      <c r="I137" s="13">
        <v>1354.89</v>
      </c>
      <c r="J137" s="12">
        <v>0</v>
      </c>
      <c r="K137" s="7">
        <f>$B137*'Janssen Payments'!I$22</f>
        <v>265.21825130544971</v>
      </c>
      <c r="L137" s="7">
        <f>$B137*'Janssen Payments'!J$22</f>
        <v>265.21825067693516</v>
      </c>
      <c r="M137" s="7">
        <f>$B137*'Janssen Payments'!K$22</f>
        <v>265.21824633319324</v>
      </c>
      <c r="N137" s="7">
        <f>$B137*'Janssen Payments'!L$22</f>
        <v>337.66922430071583</v>
      </c>
      <c r="O137" s="7">
        <f>$B137*'Janssen Payments'!M$22</f>
        <v>337.66922492923044</v>
      </c>
      <c r="P137" s="7">
        <f>$B137*'Janssen Payments'!N$22</f>
        <v>337.66922430071583</v>
      </c>
      <c r="Q137" s="7">
        <f>$B137*'Janssen Payments'!$O$22</f>
        <v>315.63419067803915</v>
      </c>
      <c r="R137" s="7">
        <v>0</v>
      </c>
      <c r="S137" s="7">
        <f t="shared" si="2"/>
        <v>6726.6766125242775</v>
      </c>
    </row>
    <row r="138" spans="1:19" customFormat="1" x14ac:dyDescent="0.35">
      <c r="A138" s="3" t="s">
        <v>168</v>
      </c>
      <c r="B138" s="6">
        <v>6.4066292393600011E-3</v>
      </c>
      <c r="C138" s="8" t="s">
        <v>168</v>
      </c>
      <c r="D138" s="33" t="s">
        <v>336</v>
      </c>
      <c r="E138" s="13">
        <v>20940.47</v>
      </c>
      <c r="F138" s="13">
        <v>59759.3</v>
      </c>
      <c r="G138" s="13">
        <v>46197</v>
      </c>
      <c r="H138" s="13">
        <v>75314.06</v>
      </c>
      <c r="I138" s="13">
        <v>84364.33</v>
      </c>
      <c r="J138" s="12">
        <v>0</v>
      </c>
      <c r="K138" s="7">
        <f>$B138*'Janssen Payments'!I$22</f>
        <v>16514.218185608806</v>
      </c>
      <c r="L138" s="7">
        <f>$B138*'Janssen Payments'!J$22</f>
        <v>16514.218146473391</v>
      </c>
      <c r="M138" s="7">
        <f>$B138*'Janssen Payments'!K$22</f>
        <v>16514.217876003688</v>
      </c>
      <c r="N138" s="7">
        <f>$B138*'Janssen Payments'!L$22</f>
        <v>21025.488318468218</v>
      </c>
      <c r="O138" s="7">
        <f>$B138*'Janssen Payments'!M$22</f>
        <v>21025.488357603637</v>
      </c>
      <c r="P138" s="7">
        <f>$B138*'Janssen Payments'!N$22</f>
        <v>21025.488318468218</v>
      </c>
      <c r="Q138" s="7">
        <f>$B138*'Janssen Payments'!$O$22</f>
        <v>19653.44340383292</v>
      </c>
      <c r="R138" s="7">
        <v>0</v>
      </c>
      <c r="S138" s="7">
        <f t="shared" si="2"/>
        <v>418847.72260645888</v>
      </c>
    </row>
    <row r="139" spans="1:19" customFormat="1" x14ac:dyDescent="0.35">
      <c r="A139" s="3" t="s">
        <v>55</v>
      </c>
      <c r="B139" s="6">
        <v>1.9759611312000001E-3</v>
      </c>
      <c r="C139" s="8" t="s">
        <v>169</v>
      </c>
      <c r="D139" s="33" t="s">
        <v>336</v>
      </c>
      <c r="E139" s="13">
        <v>6458.55</v>
      </c>
      <c r="F139" s="13">
        <v>18431.23</v>
      </c>
      <c r="G139" s="13">
        <v>14248.29</v>
      </c>
      <c r="H139" s="13">
        <v>23228.7</v>
      </c>
      <c r="I139" s="13">
        <v>26020.02</v>
      </c>
      <c r="J139" s="12">
        <v>0</v>
      </c>
      <c r="K139" s="7">
        <f>$B139*'Janssen Payments'!I$22</f>
        <v>5093.3887427796517</v>
      </c>
      <c r="L139" s="7">
        <f>$B139*'Janssen Payments'!J$22</f>
        <v>5093.3887307093319</v>
      </c>
      <c r="M139" s="7">
        <f>$B139*'Janssen Payments'!K$22</f>
        <v>5093.3886472898612</v>
      </c>
      <c r="N139" s="7">
        <f>$B139*'Janssen Payments'!L$22</f>
        <v>6484.7747746275227</v>
      </c>
      <c r="O139" s="7">
        <f>$B139*'Janssen Payments'!M$22</f>
        <v>6484.7747866978425</v>
      </c>
      <c r="P139" s="7">
        <f>$B139*'Janssen Payments'!N$22</f>
        <v>6484.7747746275227</v>
      </c>
      <c r="Q139" s="7">
        <f>$B139*'Janssen Payments'!$O$22</f>
        <v>6061.6025696677116</v>
      </c>
      <c r="R139" s="7">
        <v>0</v>
      </c>
      <c r="S139" s="7">
        <f t="shared" si="2"/>
        <v>129182.88302639948</v>
      </c>
    </row>
    <row r="140" spans="1:19" customFormat="1" x14ac:dyDescent="0.35">
      <c r="A140" s="3" t="s">
        <v>55</v>
      </c>
      <c r="B140" s="6">
        <v>6.0799556252141423E-3</v>
      </c>
      <c r="C140" s="8" t="s">
        <v>55</v>
      </c>
      <c r="D140" s="33" t="s">
        <v>336</v>
      </c>
      <c r="E140" s="13">
        <v>20483.97</v>
      </c>
      <c r="F140" s="13">
        <v>58456.55</v>
      </c>
      <c r="G140" s="13">
        <v>45189.91</v>
      </c>
      <c r="H140" s="13">
        <v>73672.210000000006</v>
      </c>
      <c r="I140" s="13">
        <v>82525.19</v>
      </c>
      <c r="J140" s="12">
        <v>0</v>
      </c>
      <c r="K140" s="7">
        <f>$B140*'Janssen Payments'!I$22</f>
        <v>15672.159259154527</v>
      </c>
      <c r="L140" s="7">
        <f>$B140*'Janssen Payments'!J$22</f>
        <v>15672.159222014621</v>
      </c>
      <c r="M140" s="7">
        <f>$B140*'Janssen Payments'!K$22</f>
        <v>15672.15896533615</v>
      </c>
      <c r="N140" s="7">
        <f>$B140*'Janssen Payments'!L$22</f>
        <v>19953.400017185206</v>
      </c>
      <c r="O140" s="7">
        <f>$B140*'Janssen Payments'!M$22</f>
        <v>19953.40005432511</v>
      </c>
      <c r="P140" s="7">
        <f>$B140*'Janssen Payments'!N$22</f>
        <v>19953.400017185206</v>
      </c>
      <c r="Q140" s="7">
        <f>$B140*'Janssen Payments'!$O$22</f>
        <v>18651.31558477677</v>
      </c>
      <c r="R140" s="7">
        <v>0</v>
      </c>
      <c r="S140" s="7">
        <f t="shared" si="2"/>
        <v>405855.82311997755</v>
      </c>
    </row>
    <row r="141" spans="1:19" customFormat="1" x14ac:dyDescent="0.35">
      <c r="A141" s="3" t="s">
        <v>83</v>
      </c>
      <c r="B141" s="6">
        <v>2.9137306090064893E-4</v>
      </c>
      <c r="C141" s="8" t="s">
        <v>170</v>
      </c>
      <c r="D141" s="33" t="s">
        <v>336</v>
      </c>
      <c r="E141" s="12">
        <v>981.66</v>
      </c>
      <c r="F141" s="13">
        <v>2801.45</v>
      </c>
      <c r="G141" s="13">
        <v>2165.66</v>
      </c>
      <c r="H141" s="13">
        <v>3530.63</v>
      </c>
      <c r="I141" s="13">
        <v>3954.9</v>
      </c>
      <c r="J141" s="12">
        <v>0</v>
      </c>
      <c r="K141" s="7">
        <f>$B141*'Janssen Payments'!I$22</f>
        <v>751.06551688055549</v>
      </c>
      <c r="L141" s="7">
        <f>$B141*'Janssen Payments'!J$22</f>
        <v>751.06551510067936</v>
      </c>
      <c r="M141" s="7">
        <f>$B141*'Janssen Payments'!K$22</f>
        <v>751.06550279973567</v>
      </c>
      <c r="N141" s="7">
        <f>$B141*'Janssen Payments'!L$22</f>
        <v>956.2377748731584</v>
      </c>
      <c r="O141" s="7">
        <f>$B141*'Janssen Payments'!M$22</f>
        <v>956.23777665303453</v>
      </c>
      <c r="P141" s="7">
        <f>$B141*'Janssen Payments'!N$22</f>
        <v>956.2377748731584</v>
      </c>
      <c r="Q141" s="7">
        <f>$B141*'Janssen Payments'!$O$22</f>
        <v>893.83726572329658</v>
      </c>
      <c r="R141" s="7">
        <v>0</v>
      </c>
      <c r="S141" s="7">
        <f t="shared" si="2"/>
        <v>19450.047126903621</v>
      </c>
    </row>
    <row r="142" spans="1:19" customFormat="1" x14ac:dyDescent="0.35">
      <c r="A142" s="3" t="s">
        <v>83</v>
      </c>
      <c r="B142" s="6">
        <v>2.1211915461277551E-3</v>
      </c>
      <c r="C142" s="8" t="s">
        <v>171</v>
      </c>
      <c r="D142" s="33" t="s">
        <v>336</v>
      </c>
      <c r="E142" s="13">
        <v>7146.5</v>
      </c>
      <c r="F142" s="13">
        <v>20394.48</v>
      </c>
      <c r="G142" s="13">
        <v>15765.98</v>
      </c>
      <c r="H142" s="13">
        <v>25702.959999999999</v>
      </c>
      <c r="I142" s="13">
        <v>28791.61</v>
      </c>
      <c r="J142" s="12">
        <v>0</v>
      </c>
      <c r="K142" s="7">
        <f>$B142*'Janssen Payments'!I$22</f>
        <v>5467.7457829168825</v>
      </c>
      <c r="L142" s="7">
        <f>$B142*'Janssen Payments'!J$22</f>
        <v>5467.7457699594106</v>
      </c>
      <c r="M142" s="7">
        <f>$B142*'Janssen Payments'!K$22</f>
        <v>5467.7456804087233</v>
      </c>
      <c r="N142" s="7">
        <f>$B142*'Janssen Payments'!L$22</f>
        <v>6961.3967670147149</v>
      </c>
      <c r="O142" s="7">
        <f>$B142*'Janssen Payments'!M$22</f>
        <v>6961.3967799721868</v>
      </c>
      <c r="P142" s="7">
        <f>$B142*'Janssen Payments'!N$22</f>
        <v>6961.3967670147149</v>
      </c>
      <c r="Q142" s="7">
        <f>$B142*'Janssen Payments'!$O$22</f>
        <v>6507.1219892654863</v>
      </c>
      <c r="R142" s="7">
        <v>0</v>
      </c>
      <c r="S142" s="7">
        <f t="shared" si="2"/>
        <v>141596.07953655213</v>
      </c>
    </row>
    <row r="143" spans="1:19" customFormat="1" x14ac:dyDescent="0.35">
      <c r="A143" s="3" t="s">
        <v>83</v>
      </c>
      <c r="B143" s="6">
        <v>2.1433248383400001E-2</v>
      </c>
      <c r="C143" s="8" t="s">
        <v>83</v>
      </c>
      <c r="D143" s="33" t="s">
        <v>336</v>
      </c>
      <c r="E143" s="13">
        <v>70055.92</v>
      </c>
      <c r="F143" s="13">
        <v>199923.52</v>
      </c>
      <c r="G143" s="13">
        <v>154551.14000000001</v>
      </c>
      <c r="H143" s="13">
        <v>251961.65</v>
      </c>
      <c r="I143" s="13">
        <v>282239.15999999997</v>
      </c>
      <c r="J143" s="12">
        <v>0</v>
      </c>
      <c r="K143" s="7">
        <f>$B143*'Janssen Payments'!I$22</f>
        <v>55247.982520239231</v>
      </c>
      <c r="L143" s="7">
        <f>$B143*'Janssen Payments'!J$22</f>
        <v>55247.982389312485</v>
      </c>
      <c r="M143" s="7">
        <f>$B143*'Janssen Payments'!K$22</f>
        <v>55247.981484461561</v>
      </c>
      <c r="N143" s="7">
        <f>$B143*'Janssen Payments'!L$22</f>
        <v>70340.345394643489</v>
      </c>
      <c r="O143" s="7">
        <f>$B143*'Janssen Payments'!M$22</f>
        <v>70340.345525570228</v>
      </c>
      <c r="P143" s="7">
        <f>$B143*'Janssen Payments'!N$22</f>
        <v>70340.345394643489</v>
      </c>
      <c r="Q143" s="7">
        <f>$B143*'Janssen Payments'!$O$22</f>
        <v>65750.196917205307</v>
      </c>
      <c r="R143" s="7">
        <v>0</v>
      </c>
      <c r="S143" s="7">
        <f t="shared" si="2"/>
        <v>1401246.5696260757</v>
      </c>
    </row>
    <row r="144" spans="1:19" customFormat="1" x14ac:dyDescent="0.35">
      <c r="A144" s="3" t="s">
        <v>172</v>
      </c>
      <c r="B144" s="6">
        <v>9.2212331993423379E-4</v>
      </c>
      <c r="C144" s="8" t="s">
        <v>172</v>
      </c>
      <c r="D144" s="33" t="s">
        <v>336</v>
      </c>
      <c r="E144" s="13">
        <v>3106.72</v>
      </c>
      <c r="F144" s="13">
        <v>8865.8799999999992</v>
      </c>
      <c r="G144" s="13">
        <v>6853.78</v>
      </c>
      <c r="H144" s="13">
        <v>11173.58</v>
      </c>
      <c r="I144" s="13">
        <v>12516.28</v>
      </c>
      <c r="J144" s="12">
        <v>0</v>
      </c>
      <c r="K144" s="7">
        <f>$B144*'Janssen Payments'!I$22</f>
        <v>2376.9356912174194</v>
      </c>
      <c r="L144" s="7">
        <f>$B144*'Janssen Payments'!J$22</f>
        <v>2376.9356855845535</v>
      </c>
      <c r="M144" s="7">
        <f>$B144*'Janssen Payments'!K$22</f>
        <v>2376.9356466551239</v>
      </c>
      <c r="N144" s="7">
        <f>$B144*'Janssen Payments'!L$22</f>
        <v>3026.254894282155</v>
      </c>
      <c r="O144" s="7">
        <f>$B144*'Janssen Payments'!M$22</f>
        <v>3026.2548999150208</v>
      </c>
      <c r="P144" s="7">
        <f>$B144*'Janssen Payments'!N$22</f>
        <v>3026.254894282155</v>
      </c>
      <c r="Q144" s="7">
        <f>$B144*'Janssen Payments'!$O$22</f>
        <v>2828.7727918359128</v>
      </c>
      <c r="R144" s="7">
        <v>0</v>
      </c>
      <c r="S144" s="7">
        <f t="shared" si="2"/>
        <v>61554.584503772341</v>
      </c>
    </row>
    <row r="145" spans="1:19" customFormat="1" x14ac:dyDescent="0.35">
      <c r="A145" s="3" t="s">
        <v>14</v>
      </c>
      <c r="B145" s="6">
        <v>3.0032920160640002E-2</v>
      </c>
      <c r="C145" s="8" t="s">
        <v>14</v>
      </c>
      <c r="D145" s="33" t="s">
        <v>336</v>
      </c>
      <c r="E145" s="13">
        <v>98164.479999999996</v>
      </c>
      <c r="F145" s="13">
        <v>280138.93</v>
      </c>
      <c r="G145" s="13">
        <v>216561.76</v>
      </c>
      <c r="H145" s="13">
        <v>353056.34</v>
      </c>
      <c r="I145" s="13">
        <v>395482.1</v>
      </c>
      <c r="J145" s="12">
        <v>0</v>
      </c>
      <c r="K145" s="7">
        <f>$B145*'Janssen Payments'!I$22</f>
        <v>77415.155107886996</v>
      </c>
      <c r="L145" s="7">
        <f>$B145*'Janssen Payments'!J$22</f>
        <v>77415.154924428454</v>
      </c>
      <c r="M145" s="7">
        <f>$B145*'Janssen Payments'!K$22</f>
        <v>77415.153656523791</v>
      </c>
      <c r="N145" s="7">
        <f>$B145*'Janssen Payments'!L$22</f>
        <v>98563.033447851791</v>
      </c>
      <c r="O145" s="7">
        <f>$B145*'Janssen Payments'!M$22</f>
        <v>98563.033631310333</v>
      </c>
      <c r="P145" s="7">
        <f>$B145*'Janssen Payments'!N$22</f>
        <v>98563.033447851791</v>
      </c>
      <c r="Q145" s="7">
        <f>$B145*'Janssen Payments'!$O$22</f>
        <v>92131.177656213928</v>
      </c>
      <c r="R145" s="7">
        <v>0</v>
      </c>
      <c r="S145" s="7">
        <f t="shared" si="2"/>
        <v>1963469.3518720672</v>
      </c>
    </row>
    <row r="146" spans="1:19" customFormat="1" x14ac:dyDescent="0.35">
      <c r="A146" s="3" t="s">
        <v>14</v>
      </c>
      <c r="B146" s="6">
        <v>7.9717256827079659E-4</v>
      </c>
      <c r="C146" s="8" t="s">
        <v>173</v>
      </c>
      <c r="D146" s="33" t="s">
        <v>336</v>
      </c>
      <c r="E146" s="13">
        <v>2685.75</v>
      </c>
      <c r="F146" s="13">
        <v>7664.52</v>
      </c>
      <c r="G146" s="13">
        <v>5925.07</v>
      </c>
      <c r="H146" s="13">
        <v>9659.52</v>
      </c>
      <c r="I146" s="13">
        <v>10820.28</v>
      </c>
      <c r="J146" s="12">
        <v>0</v>
      </c>
      <c r="K146" s="7">
        <f>$B146*'Janssen Payments'!I$22</f>
        <v>2054.8530642489891</v>
      </c>
      <c r="L146" s="7">
        <f>$B146*'Janssen Payments'!J$22</f>
        <v>2054.8530593793953</v>
      </c>
      <c r="M146" s="7">
        <f>$B146*'Janssen Payments'!K$22</f>
        <v>2054.8530257250318</v>
      </c>
      <c r="N146" s="7">
        <f>$B146*'Janssen Payments'!L$22</f>
        <v>2616.187373386274</v>
      </c>
      <c r="O146" s="7">
        <f>$B146*'Janssen Payments'!M$22</f>
        <v>2616.1873782558673</v>
      </c>
      <c r="P146" s="7">
        <f>$B146*'Janssen Payments'!N$22</f>
        <v>2616.187373386274</v>
      </c>
      <c r="Q146" s="7">
        <f>$B146*'Janssen Payments'!$O$22</f>
        <v>2445.464747256598</v>
      </c>
      <c r="R146" s="7">
        <v>0</v>
      </c>
      <c r="S146" s="7">
        <f t="shared" si="2"/>
        <v>53213.726021638431</v>
      </c>
    </row>
    <row r="147" spans="1:19" customFormat="1" x14ac:dyDescent="0.35">
      <c r="A147" s="3" t="s">
        <v>174</v>
      </c>
      <c r="B147" s="6">
        <v>3.7904728516649677E-5</v>
      </c>
      <c r="C147" s="8" t="s">
        <v>174</v>
      </c>
      <c r="D147" s="33" t="s">
        <v>336</v>
      </c>
      <c r="E147" s="12">
        <v>127.7</v>
      </c>
      <c r="F147" s="12">
        <v>364.44</v>
      </c>
      <c r="G147" s="12">
        <v>281.73</v>
      </c>
      <c r="H147" s="12">
        <v>459.3</v>
      </c>
      <c r="I147" s="12">
        <v>514.49</v>
      </c>
      <c r="J147" s="12">
        <v>0</v>
      </c>
      <c r="K147" s="7">
        <f>$B147*'Janssen Payments'!I$22</f>
        <v>97.706131196808997</v>
      </c>
      <c r="L147" s="7">
        <f>$B147*'Janssen Payments'!J$22</f>
        <v>97.706130965264862</v>
      </c>
      <c r="M147" s="7">
        <f>$B147*'Janssen Payments'!K$22</f>
        <v>97.706129365034812</v>
      </c>
      <c r="N147" s="7">
        <f>$B147*'Janssen Payments'!L$22</f>
        <v>124.39699518512185</v>
      </c>
      <c r="O147" s="7">
        <f>$B147*'Janssen Payments'!M$22</f>
        <v>124.39699541666599</v>
      </c>
      <c r="P147" s="7">
        <f>$B147*'Janssen Payments'!N$22</f>
        <v>124.39699518512185</v>
      </c>
      <c r="Q147" s="7">
        <f>$B147*'Janssen Payments'!$O$22</f>
        <v>116.27931144553712</v>
      </c>
      <c r="R147" s="7">
        <v>0</v>
      </c>
      <c r="S147" s="7">
        <f t="shared" si="2"/>
        <v>2530.2486887595555</v>
      </c>
    </row>
    <row r="148" spans="1:19" customFormat="1" x14ac:dyDescent="0.35">
      <c r="A148" s="3" t="s">
        <v>175</v>
      </c>
      <c r="B148" s="6">
        <v>8.157508475200001E-4</v>
      </c>
      <c r="C148" s="8" t="s">
        <v>175</v>
      </c>
      <c r="D148" s="33" t="s">
        <v>336</v>
      </c>
      <c r="E148" s="13">
        <v>2666.33</v>
      </c>
      <c r="F148" s="13">
        <v>7609.1</v>
      </c>
      <c r="G148" s="13">
        <v>5882.23</v>
      </c>
      <c r="H148" s="13">
        <v>9589.68</v>
      </c>
      <c r="I148" s="13">
        <v>10742.04</v>
      </c>
      <c r="J148" s="12">
        <v>0</v>
      </c>
      <c r="K148" s="7">
        <f>$B148*'Janssen Payments'!I$22</f>
        <v>2102.7418596782004</v>
      </c>
      <c r="L148" s="7">
        <f>$B148*'Janssen Payments'!J$22</f>
        <v>2102.7418546951199</v>
      </c>
      <c r="M148" s="7">
        <f>$B148*'Janssen Payments'!K$22</f>
        <v>2102.741820256434</v>
      </c>
      <c r="N148" s="7">
        <f>$B148*'Janssen Payments'!L$22</f>
        <v>2677.158186389086</v>
      </c>
      <c r="O148" s="7">
        <f>$B148*'Janssen Payments'!M$22</f>
        <v>2677.1581913721666</v>
      </c>
      <c r="P148" s="7">
        <f>$B148*'Janssen Payments'!N$22</f>
        <v>2677.158186389086</v>
      </c>
      <c r="Q148" s="7">
        <f>$B148*'Janssen Payments'!$O$22</f>
        <v>2502.4568325050491</v>
      </c>
      <c r="R148" s="7">
        <v>0</v>
      </c>
      <c r="S148" s="7">
        <f t="shared" si="2"/>
        <v>53331.536931285154</v>
      </c>
    </row>
    <row r="149" spans="1:19" customFormat="1" x14ac:dyDescent="0.35">
      <c r="A149" s="3" t="s">
        <v>176</v>
      </c>
      <c r="B149" s="6">
        <v>6.1572607729999994E-3</v>
      </c>
      <c r="C149" s="8" t="s">
        <v>177</v>
      </c>
      <c r="D149" s="33" t="s">
        <v>336</v>
      </c>
      <c r="E149" s="13">
        <v>20125.39</v>
      </c>
      <c r="F149" s="13">
        <v>57433.26</v>
      </c>
      <c r="G149" s="13">
        <v>44398.85</v>
      </c>
      <c r="H149" s="13">
        <v>72382.570000000007</v>
      </c>
      <c r="I149" s="13">
        <v>81080.58</v>
      </c>
      <c r="J149" s="12">
        <v>0</v>
      </c>
      <c r="K149" s="7">
        <f>$B149*'Janssen Payments'!I$22</f>
        <v>15871.426928580939</v>
      </c>
      <c r="L149" s="7">
        <f>$B149*'Janssen Payments'!J$22</f>
        <v>15871.426890968809</v>
      </c>
      <c r="M149" s="7">
        <f>$B149*'Janssen Payments'!K$22</f>
        <v>15871.426631026734</v>
      </c>
      <c r="N149" s="7">
        <f>$B149*'Janssen Payments'!L$22</f>
        <v>20207.102615072916</v>
      </c>
      <c r="O149" s="7">
        <f>$B149*'Janssen Payments'!M$22</f>
        <v>20207.102652685044</v>
      </c>
      <c r="P149" s="7">
        <f>$B149*'Janssen Payments'!N$22</f>
        <v>20207.102615072916</v>
      </c>
      <c r="Q149" s="7">
        <f>$B149*'Janssen Payments'!$O$22</f>
        <v>18888.462497774355</v>
      </c>
      <c r="R149" s="7">
        <v>0</v>
      </c>
      <c r="S149" s="7">
        <f t="shared" si="2"/>
        <v>402544.70083118166</v>
      </c>
    </row>
    <row r="150" spans="1:19" customFormat="1" x14ac:dyDescent="0.35">
      <c r="A150" s="3" t="s">
        <v>178</v>
      </c>
      <c r="B150" s="6">
        <v>4.4341650468934435E-3</v>
      </c>
      <c r="C150" s="8" t="s">
        <v>178</v>
      </c>
      <c r="D150" s="33" t="s">
        <v>336</v>
      </c>
      <c r="E150" s="13">
        <v>14939.14</v>
      </c>
      <c r="F150" s="13">
        <v>42632.87</v>
      </c>
      <c r="G150" s="13">
        <v>32957.4</v>
      </c>
      <c r="H150" s="13">
        <v>53729.79</v>
      </c>
      <c r="I150" s="13">
        <v>60186.35</v>
      </c>
      <c r="J150" s="12">
        <v>0</v>
      </c>
      <c r="K150" s="7">
        <f>$B150*'Janssen Payments'!I$22</f>
        <v>11429.843419925097</v>
      </c>
      <c r="L150" s="7">
        <f>$B150*'Janssen Payments'!J$22</f>
        <v>11429.843392838638</v>
      </c>
      <c r="M150" s="7">
        <f>$B150*'Janssen Payments'!K$22</f>
        <v>11429.843205640775</v>
      </c>
      <c r="N150" s="7">
        <f>$B150*'Janssen Payments'!L$22</f>
        <v>14552.189913354743</v>
      </c>
      <c r="O150" s="7">
        <f>$B150*'Janssen Payments'!M$22</f>
        <v>14552.189940441202</v>
      </c>
      <c r="P150" s="7">
        <f>$B150*'Janssen Payments'!N$22</f>
        <v>14552.189913354743</v>
      </c>
      <c r="Q150" s="7">
        <f>$B150*'Janssen Payments'!$O$22</f>
        <v>13602.568298626888</v>
      </c>
      <c r="R150" s="7">
        <v>0</v>
      </c>
      <c r="S150" s="7">
        <f t="shared" si="2"/>
        <v>295994.21808418212</v>
      </c>
    </row>
    <row r="151" spans="1:19" customFormat="1" x14ac:dyDescent="0.35">
      <c r="A151" s="3" t="s">
        <v>179</v>
      </c>
      <c r="B151" s="6">
        <v>1.38586949984E-3</v>
      </c>
      <c r="C151" s="8" t="s">
        <v>179</v>
      </c>
      <c r="D151" s="33" t="s">
        <v>336</v>
      </c>
      <c r="E151" s="13">
        <v>4529.8</v>
      </c>
      <c r="F151" s="13">
        <v>12927.01</v>
      </c>
      <c r="G151" s="13">
        <v>9993.25</v>
      </c>
      <c r="H151" s="13">
        <v>16291.79</v>
      </c>
      <c r="I151" s="13">
        <v>18249.53</v>
      </c>
      <c r="J151" s="12">
        <v>0</v>
      </c>
      <c r="K151" s="7">
        <f>$B151*'Janssen Payments'!I$22</f>
        <v>3572.3233610166885</v>
      </c>
      <c r="L151" s="7">
        <f>$B151*'Janssen Payments'!J$22</f>
        <v>3572.3233525509918</v>
      </c>
      <c r="M151" s="7">
        <f>$B151*'Janssen Payments'!K$22</f>
        <v>3572.3232940435146</v>
      </c>
      <c r="N151" s="7">
        <f>$B151*'Janssen Payments'!L$22</f>
        <v>4548.1924879920398</v>
      </c>
      <c r="O151" s="7">
        <f>$B151*'Janssen Payments'!M$22</f>
        <v>4548.1924964577365</v>
      </c>
      <c r="P151" s="7">
        <f>$B151*'Janssen Payments'!N$22</f>
        <v>4548.1924879920398</v>
      </c>
      <c r="Q151" s="7">
        <f>$B151*'Janssen Payments'!$O$22</f>
        <v>4251.394417031157</v>
      </c>
      <c r="R151" s="7">
        <v>0</v>
      </c>
      <c r="S151" s="7">
        <f t="shared" si="2"/>
        <v>90604.32189708417</v>
      </c>
    </row>
    <row r="152" spans="1:19" customFormat="1" x14ac:dyDescent="0.35">
      <c r="A152" s="3" t="s">
        <v>16</v>
      </c>
      <c r="B152" s="6">
        <v>8.8237929539200007E-3</v>
      </c>
      <c r="C152" s="8" t="s">
        <v>16</v>
      </c>
      <c r="D152" s="33" t="s">
        <v>336</v>
      </c>
      <c r="E152" s="13">
        <v>28841.119999999999</v>
      </c>
      <c r="F152" s="13">
        <v>82305.95</v>
      </c>
      <c r="G152" s="13">
        <v>63626.720000000001</v>
      </c>
      <c r="H152" s="13">
        <v>103729.37</v>
      </c>
      <c r="I152" s="13">
        <v>116194.24000000001</v>
      </c>
      <c r="J152" s="12">
        <v>0</v>
      </c>
      <c r="K152" s="7">
        <f>$B152*'Janssen Payments'!I$22</f>
        <v>22744.884497207029</v>
      </c>
      <c r="L152" s="7">
        <f>$B152*'Janssen Payments'!J$22</f>
        <v>22744.884443306168</v>
      </c>
      <c r="M152" s="7">
        <f>$B152*'Janssen Payments'!K$22</f>
        <v>22744.884070790671</v>
      </c>
      <c r="N152" s="7">
        <f>$B152*'Janssen Payments'!L$22</f>
        <v>28958.216363986186</v>
      </c>
      <c r="O152" s="7">
        <f>$B152*'Janssen Payments'!M$22</f>
        <v>28958.216417887044</v>
      </c>
      <c r="P152" s="7">
        <f>$B152*'Janssen Payments'!N$22</f>
        <v>28958.216363986186</v>
      </c>
      <c r="Q152" s="7">
        <f>$B152*'Janssen Payments'!$O$22</f>
        <v>27068.511216723735</v>
      </c>
      <c r="R152" s="7">
        <v>0</v>
      </c>
      <c r="S152" s="7">
        <f t="shared" si="2"/>
        <v>576875.21337388689</v>
      </c>
    </row>
    <row r="153" spans="1:19" customFormat="1" x14ac:dyDescent="0.35">
      <c r="A153" s="3" t="s">
        <v>75</v>
      </c>
      <c r="B153" s="6">
        <v>6.2683460192308979E-5</v>
      </c>
      <c r="C153" s="8" t="s">
        <v>180</v>
      </c>
      <c r="D153" s="8" t="s">
        <v>337</v>
      </c>
      <c r="E153" s="12">
        <v>0</v>
      </c>
      <c r="F153" s="12">
        <v>0</v>
      </c>
      <c r="G153" s="12">
        <v>0</v>
      </c>
      <c r="H153" s="12">
        <v>0</v>
      </c>
      <c r="I153" s="12">
        <v>0</v>
      </c>
      <c r="J153" s="12">
        <v>0</v>
      </c>
      <c r="K153" s="12">
        <v>0</v>
      </c>
      <c r="L153" s="12">
        <v>0</v>
      </c>
      <c r="M153" s="12">
        <v>0</v>
      </c>
      <c r="N153" s="12">
        <v>0</v>
      </c>
      <c r="O153" s="12">
        <v>0</v>
      </c>
      <c r="P153" s="12">
        <v>0</v>
      </c>
      <c r="Q153" s="12">
        <v>0</v>
      </c>
      <c r="R153" s="12">
        <v>0</v>
      </c>
      <c r="S153" s="7">
        <f t="shared" si="2"/>
        <v>0</v>
      </c>
    </row>
    <row r="154" spans="1:19" customFormat="1" x14ac:dyDescent="0.35">
      <c r="A154" s="3" t="s">
        <v>55</v>
      </c>
      <c r="B154" s="6">
        <v>5.0926305960276605E-5</v>
      </c>
      <c r="C154" s="8" t="s">
        <v>181</v>
      </c>
      <c r="D154" s="33" t="s">
        <v>336</v>
      </c>
      <c r="E154" s="12">
        <v>171.58</v>
      </c>
      <c r="F154" s="12">
        <v>489.64</v>
      </c>
      <c r="G154" s="12">
        <v>378.52</v>
      </c>
      <c r="H154" s="12">
        <v>617.09</v>
      </c>
      <c r="I154" s="12">
        <v>691.24</v>
      </c>
      <c r="J154" s="12">
        <v>0</v>
      </c>
      <c r="K154" s="7">
        <f>$B154*'Janssen Payments'!I$22</f>
        <v>131.2715464862911</v>
      </c>
      <c r="L154" s="7">
        <f>$B154*'Janssen Payments'!J$22</f>
        <v>131.27154617520361</v>
      </c>
      <c r="M154" s="7">
        <f>$B154*'Janssen Payments'!K$22</f>
        <v>131.27154402523951</v>
      </c>
      <c r="N154" s="7">
        <f>$B154*'Janssen Payments'!L$22</f>
        <v>167.13163991014693</v>
      </c>
      <c r="O154" s="7">
        <f>$B154*'Janssen Payments'!M$22</f>
        <v>167.13164022123442</v>
      </c>
      <c r="P154" s="7">
        <f>$B154*'Janssen Payments'!N$22</f>
        <v>167.13163991014693</v>
      </c>
      <c r="Q154" s="7">
        <f>$B154*'Janssen Payments'!$O$22</f>
        <v>156.22525271285394</v>
      </c>
      <c r="R154" s="7">
        <v>0</v>
      </c>
      <c r="S154" s="7">
        <f t="shared" si="2"/>
        <v>3399.5048094411168</v>
      </c>
    </row>
    <row r="155" spans="1:19" customFormat="1" x14ac:dyDescent="0.35">
      <c r="A155" s="3" t="s">
        <v>47</v>
      </c>
      <c r="B155" s="6">
        <v>9.9963664546176421E-5</v>
      </c>
      <c r="C155" s="8" t="s">
        <v>182</v>
      </c>
      <c r="D155" s="33" t="s">
        <v>336</v>
      </c>
      <c r="E155" s="12">
        <v>336.79</v>
      </c>
      <c r="F155" s="12">
        <v>961.11</v>
      </c>
      <c r="G155" s="12">
        <v>742.99</v>
      </c>
      <c r="H155" s="13">
        <v>1211.28</v>
      </c>
      <c r="I155" s="13">
        <v>1356.84</v>
      </c>
      <c r="J155" s="12">
        <v>0</v>
      </c>
      <c r="K155" s="7">
        <f>$B155*'Janssen Payments'!I$22</f>
        <v>257.67399755342734</v>
      </c>
      <c r="L155" s="7">
        <f>$B155*'Janssen Payments'!J$22</f>
        <v>257.67399694279118</v>
      </c>
      <c r="M155" s="7">
        <f>$B155*'Janssen Payments'!K$22</f>
        <v>257.67399272260894</v>
      </c>
      <c r="N155" s="7">
        <f>$B155*'Janssen Payments'!L$22</f>
        <v>328.06406967868622</v>
      </c>
      <c r="O155" s="7">
        <f>$B155*'Janssen Payments'!M$22</f>
        <v>328.06407028932244</v>
      </c>
      <c r="P155" s="7">
        <f>$B155*'Janssen Payments'!N$22</f>
        <v>328.06406967868622</v>
      </c>
      <c r="Q155" s="7">
        <f>$B155*'Janssen Payments'!$O$22</f>
        <v>306.65583260664499</v>
      </c>
      <c r="R155" s="7">
        <v>0</v>
      </c>
      <c r="S155" s="7">
        <f t="shared" si="2"/>
        <v>6672.8800294721668</v>
      </c>
    </row>
    <row r="156" spans="1:19" customFormat="1" x14ac:dyDescent="0.35">
      <c r="A156" s="3" t="s">
        <v>22</v>
      </c>
      <c r="B156" s="6">
        <v>8.8986446900904024E-4</v>
      </c>
      <c r="C156" s="8" t="s">
        <v>183</v>
      </c>
      <c r="D156" s="33" t="s">
        <v>336</v>
      </c>
      <c r="E156" s="13">
        <v>2998.04</v>
      </c>
      <c r="F156" s="13">
        <v>8555.7199999999993</v>
      </c>
      <c r="G156" s="13">
        <v>6614.01</v>
      </c>
      <c r="H156" s="13">
        <v>10782.69</v>
      </c>
      <c r="I156" s="13">
        <v>12078.42</v>
      </c>
      <c r="J156" s="12">
        <v>0</v>
      </c>
      <c r="K156" s="7">
        <f>$B156*'Janssen Payments'!I$22</f>
        <v>2293.7828064956411</v>
      </c>
      <c r="L156" s="7">
        <f>$B156*'Janssen Payments'!J$22</f>
        <v>2293.7828010598314</v>
      </c>
      <c r="M156" s="7">
        <f>$B156*'Janssen Payments'!K$22</f>
        <v>2293.7827634922792</v>
      </c>
      <c r="N156" s="7">
        <f>$B156*'Janssen Payments'!L$22</f>
        <v>2920.3867274265031</v>
      </c>
      <c r="O156" s="7">
        <f>$B156*'Janssen Payments'!M$22</f>
        <v>2920.3867328623128</v>
      </c>
      <c r="P156" s="7">
        <f>$B156*'Janssen Payments'!N$22</f>
        <v>2920.3867274265031</v>
      </c>
      <c r="Q156" s="7">
        <f>$B156*'Janssen Payments'!$O$22</f>
        <v>2729.8131865202304</v>
      </c>
      <c r="R156" s="7">
        <v>0</v>
      </c>
      <c r="S156" s="7">
        <f t="shared" si="2"/>
        <v>59401.20174528331</v>
      </c>
    </row>
    <row r="157" spans="1:19" customFormat="1" x14ac:dyDescent="0.35">
      <c r="A157" s="3" t="s">
        <v>60</v>
      </c>
      <c r="B157" s="6">
        <v>1.4441660502840001E-2</v>
      </c>
      <c r="C157" s="8" t="s">
        <v>60</v>
      </c>
      <c r="D157" s="33" t="s">
        <v>336</v>
      </c>
      <c r="E157" s="13">
        <v>47203.47</v>
      </c>
      <c r="F157" s="13">
        <v>134707.89000000001</v>
      </c>
      <c r="G157" s="13">
        <v>104136.11</v>
      </c>
      <c r="H157" s="13">
        <v>169771.03</v>
      </c>
      <c r="I157" s="13">
        <v>190171.93</v>
      </c>
      <c r="J157" s="12">
        <v>0</v>
      </c>
      <c r="K157" s="7">
        <f>$B157*'Janssen Payments'!I$22</f>
        <v>37225.930141419165</v>
      </c>
      <c r="L157" s="7">
        <f>$B157*'Janssen Payments'!J$22</f>
        <v>37225.930053201104</v>
      </c>
      <c r="M157" s="7">
        <f>$B157*'Janssen Payments'!K$22</f>
        <v>37225.929443515182</v>
      </c>
      <c r="N157" s="7">
        <f>$B157*'Janssen Payments'!L$22</f>
        <v>47395.120406886403</v>
      </c>
      <c r="O157" s="7">
        <f>$B157*'Janssen Payments'!M$22</f>
        <v>47395.120495104464</v>
      </c>
      <c r="P157" s="7">
        <f>$B157*'Janssen Payments'!N$22</f>
        <v>47395.120406886403</v>
      </c>
      <c r="Q157" s="7">
        <f>$B157*'Janssen Payments'!$O$22</f>
        <v>44302.291695950968</v>
      </c>
      <c r="R157" s="7">
        <v>0</v>
      </c>
      <c r="S157" s="7">
        <f t="shared" si="2"/>
        <v>944155.87264296378</v>
      </c>
    </row>
    <row r="158" spans="1:19" customFormat="1" x14ac:dyDescent="0.35">
      <c r="A158" s="3" t="s">
        <v>22</v>
      </c>
      <c r="B158" s="6">
        <v>4.4797409664000002E-3</v>
      </c>
      <c r="C158" s="8" t="s">
        <v>184</v>
      </c>
      <c r="D158" s="33" t="s">
        <v>336</v>
      </c>
      <c r="E158" s="13">
        <v>14642.31</v>
      </c>
      <c r="F158" s="13">
        <v>41785.81</v>
      </c>
      <c r="G158" s="13">
        <v>32302.57</v>
      </c>
      <c r="H158" s="13">
        <v>52662.239999999998</v>
      </c>
      <c r="I158" s="13">
        <v>58990.51</v>
      </c>
      <c r="J158" s="12">
        <v>0</v>
      </c>
      <c r="K158" s="7">
        <f>$B158*'Janssen Payments'!I$22</f>
        <v>11547.323400523477</v>
      </c>
      <c r="L158" s="7">
        <f>$B158*'Janssen Payments'!J$22</f>
        <v>11547.323373158613</v>
      </c>
      <c r="M158" s="7">
        <f>$B158*'Janssen Payments'!K$22</f>
        <v>11547.323184036662</v>
      </c>
      <c r="N158" s="7">
        <f>$B158*'Janssen Payments'!L$22</f>
        <v>14701.762477551432</v>
      </c>
      <c r="O158" s="7">
        <f>$B158*'Janssen Payments'!M$22</f>
        <v>14701.762504916294</v>
      </c>
      <c r="P158" s="7">
        <f>$B158*'Janssen Payments'!N$22</f>
        <v>14701.762477551432</v>
      </c>
      <c r="Q158" s="7">
        <f>$B158*'Janssen Payments'!$O$22</f>
        <v>13742.380315388644</v>
      </c>
      <c r="R158" s="7">
        <v>0</v>
      </c>
      <c r="S158" s="7">
        <f t="shared" si="2"/>
        <v>292873.07773312659</v>
      </c>
    </row>
    <row r="159" spans="1:19" customFormat="1" x14ac:dyDescent="0.35">
      <c r="A159" s="3" t="s">
        <v>185</v>
      </c>
      <c r="B159" s="6">
        <v>7.1513735216000008E-4</v>
      </c>
      <c r="C159" s="8" t="s">
        <v>185</v>
      </c>
      <c r="D159" s="33" t="s">
        <v>336</v>
      </c>
      <c r="E159" s="13">
        <v>2337.4699999999998</v>
      </c>
      <c r="F159" s="13">
        <v>6670.61</v>
      </c>
      <c r="G159" s="13">
        <v>5156.72</v>
      </c>
      <c r="H159" s="13">
        <v>8406.9</v>
      </c>
      <c r="I159" s="13">
        <v>9417.1299999999992</v>
      </c>
      <c r="J159" s="12">
        <v>0</v>
      </c>
      <c r="K159" s="7">
        <f>$B159*'Janssen Payments'!I$22</f>
        <v>1843.3928084511058</v>
      </c>
      <c r="L159" s="7">
        <f>$B159*'Janssen Payments'!J$22</f>
        <v>1843.3928040826308</v>
      </c>
      <c r="M159" s="7">
        <f>$B159*'Janssen Payments'!K$22</f>
        <v>1843.3927738915615</v>
      </c>
      <c r="N159" s="7">
        <f>$B159*'Janssen Payments'!L$22</f>
        <v>2346.9614803934601</v>
      </c>
      <c r="O159" s="7">
        <f>$B159*'Janssen Payments'!M$22</f>
        <v>2346.9614847619346</v>
      </c>
      <c r="P159" s="7">
        <f>$B159*'Janssen Payments'!N$22</f>
        <v>2346.9614803934601</v>
      </c>
      <c r="Q159" s="7">
        <f>$B159*'Janssen Payments'!$O$22</f>
        <v>2193.8075314699386</v>
      </c>
      <c r="R159" s="7">
        <v>0</v>
      </c>
      <c r="S159" s="7">
        <f t="shared" si="2"/>
        <v>46753.700363444084</v>
      </c>
    </row>
    <row r="160" spans="1:19" customFormat="1" x14ac:dyDescent="0.35">
      <c r="A160" s="3" t="s">
        <v>34</v>
      </c>
      <c r="B160" s="6">
        <v>3.3765971733933234E-5</v>
      </c>
      <c r="C160" s="8" t="s">
        <v>186</v>
      </c>
      <c r="D160" s="33" t="s">
        <v>336</v>
      </c>
      <c r="E160" s="12">
        <v>113.76</v>
      </c>
      <c r="F160" s="12">
        <v>324.64999999999998</v>
      </c>
      <c r="G160" s="12">
        <v>250.97</v>
      </c>
      <c r="H160" s="12">
        <v>409.15</v>
      </c>
      <c r="I160" s="12">
        <v>458.32</v>
      </c>
      <c r="J160" s="12">
        <v>0</v>
      </c>
      <c r="K160" s="7">
        <f>$B160*'Janssen Payments'!I$22</f>
        <v>87.037754742769735</v>
      </c>
      <c r="L160" s="7">
        <f>$B160*'Janssen Payments'!J$22</f>
        <v>87.037754536507549</v>
      </c>
      <c r="M160" s="7">
        <f>$B160*'Janssen Payments'!K$22</f>
        <v>87.037753111004051</v>
      </c>
      <c r="N160" s="7">
        <f>$B160*'Janssen Payments'!L$22</f>
        <v>110.81428591058319</v>
      </c>
      <c r="O160" s="7">
        <f>$B160*'Janssen Payments'!M$22</f>
        <v>110.81428611684538</v>
      </c>
      <c r="P160" s="7">
        <f>$B160*'Janssen Payments'!N$22</f>
        <v>110.81428591058319</v>
      </c>
      <c r="Q160" s="7">
        <f>$B160*'Janssen Payments'!$O$22</f>
        <v>103.58295909668902</v>
      </c>
      <c r="R160" s="7">
        <v>0</v>
      </c>
      <c r="S160" s="7">
        <f t="shared" si="2"/>
        <v>2253.9890794249823</v>
      </c>
    </row>
    <row r="161" spans="1:19" customFormat="1" x14ac:dyDescent="0.35">
      <c r="A161" s="3" t="s">
        <v>187</v>
      </c>
      <c r="B161" s="6">
        <v>5.0941859009260573E-4</v>
      </c>
      <c r="C161" s="8" t="s">
        <v>187</v>
      </c>
      <c r="D161" s="33" t="s">
        <v>336</v>
      </c>
      <c r="E161" s="13">
        <v>1716.28</v>
      </c>
      <c r="F161" s="13">
        <v>4897.87</v>
      </c>
      <c r="G161" s="13">
        <v>3786.31</v>
      </c>
      <c r="H161" s="13">
        <v>6172.74</v>
      </c>
      <c r="I161" s="13">
        <v>6914.5</v>
      </c>
      <c r="J161" s="12">
        <v>0</v>
      </c>
      <c r="K161" s="7">
        <f>$B161*'Janssen Payments'!I$22</f>
        <v>1313.116372164983</v>
      </c>
      <c r="L161" s="7">
        <f>$B161*'Janssen Payments'!J$22</f>
        <v>1313.116369053158</v>
      </c>
      <c r="M161" s="7">
        <f>$B161*'Janssen Payments'!K$22</f>
        <v>1313.1163475469507</v>
      </c>
      <c r="N161" s="7">
        <f>$B161*'Janssen Payments'!L$22</f>
        <v>1671.8268242213121</v>
      </c>
      <c r="O161" s="7">
        <f>$B161*'Janssen Payments'!M$22</f>
        <v>1671.8268273331371</v>
      </c>
      <c r="P161" s="7">
        <f>$B161*'Janssen Payments'!N$22</f>
        <v>1671.8268242213121</v>
      </c>
      <c r="Q161" s="7">
        <f>$B161*'Janssen Payments'!$O$22</f>
        <v>1562.7296438096257</v>
      </c>
      <c r="R161" s="7">
        <v>0</v>
      </c>
      <c r="S161" s="7">
        <f t="shared" si="2"/>
        <v>34005.259208350479</v>
      </c>
    </row>
    <row r="162" spans="1:19" customFormat="1" x14ac:dyDescent="0.35">
      <c r="A162" s="3" t="s">
        <v>75</v>
      </c>
      <c r="B162" s="6">
        <v>8.960072678483999E-2</v>
      </c>
      <c r="C162" s="8" t="s">
        <v>75</v>
      </c>
      <c r="D162" s="33" t="s">
        <v>336</v>
      </c>
      <c r="E162" s="13">
        <v>292865.59000000003</v>
      </c>
      <c r="F162" s="13">
        <v>835771.26</v>
      </c>
      <c r="G162" s="13">
        <v>646094.06000000006</v>
      </c>
      <c r="H162" s="13">
        <v>1053314.3</v>
      </c>
      <c r="I162" s="13">
        <v>1179888.06</v>
      </c>
      <c r="J162" s="12">
        <v>0</v>
      </c>
      <c r="K162" s="7">
        <f>$B162*'Janssen Payments'!I$22</f>
        <v>230961.69552364887</v>
      </c>
      <c r="L162" s="7">
        <f>$B162*'Janssen Payments'!J$22</f>
        <v>230961.69497631554</v>
      </c>
      <c r="M162" s="7">
        <f>$B162*'Janssen Payments'!K$22</f>
        <v>230961.69119362714</v>
      </c>
      <c r="N162" s="7">
        <f>$B162*'Janssen Payments'!L$22</f>
        <v>294054.63683881139</v>
      </c>
      <c r="O162" s="7">
        <f>$B162*'Janssen Payments'!M$22</f>
        <v>294054.63738614472</v>
      </c>
      <c r="P162" s="7">
        <f>$B162*'Janssen Payments'!N$22</f>
        <v>294054.63683881139</v>
      </c>
      <c r="Q162" s="7">
        <f>$B162*'Janssen Payments'!$O$22</f>
        <v>274865.72845349531</v>
      </c>
      <c r="R162" s="7">
        <v>0</v>
      </c>
      <c r="S162" s="7">
        <f t="shared" si="2"/>
        <v>5857847.9912108555</v>
      </c>
    </row>
    <row r="163" spans="1:19" customFormat="1" x14ac:dyDescent="0.35">
      <c r="A163" s="3" t="s">
        <v>75</v>
      </c>
      <c r="B163" s="6">
        <v>6.0597412335066725E-4</v>
      </c>
      <c r="C163" s="8" t="s">
        <v>188</v>
      </c>
      <c r="D163" s="33" t="s">
        <v>336</v>
      </c>
      <c r="E163" s="13">
        <v>2041.59</v>
      </c>
      <c r="F163" s="13">
        <v>5826.22</v>
      </c>
      <c r="G163" s="13">
        <v>4503.97</v>
      </c>
      <c r="H163" s="13">
        <v>7342.73</v>
      </c>
      <c r="I163" s="13">
        <v>8225.08</v>
      </c>
      <c r="J163" s="12">
        <v>0</v>
      </c>
      <c r="K163" s="7">
        <f>$B163*'Janssen Payments'!I$22</f>
        <v>1562.0053094949546</v>
      </c>
      <c r="L163" s="7">
        <f>$B163*'Janssen Payments'!J$22</f>
        <v>1562.0053057933123</v>
      </c>
      <c r="M163" s="7">
        <f>$B163*'Janssen Payments'!K$22</f>
        <v>1562.0052802108046</v>
      </c>
      <c r="N163" s="7">
        <f>$B163*'Janssen Payments'!L$22</f>
        <v>1988.7059756053939</v>
      </c>
      <c r="O163" s="7">
        <f>$B163*'Janssen Payments'!M$22</f>
        <v>1988.7059793070362</v>
      </c>
      <c r="P163" s="7">
        <f>$B163*'Janssen Payments'!N$22</f>
        <v>1988.7059756053939</v>
      </c>
      <c r="Q163" s="7">
        <f>$B163*'Janssen Payments'!$O$22</f>
        <v>1858.9304441549548</v>
      </c>
      <c r="R163" s="7">
        <v>0</v>
      </c>
      <c r="S163" s="7">
        <f t="shared" si="2"/>
        <v>40450.65427017185</v>
      </c>
    </row>
    <row r="164" spans="1:19" customFormat="1" x14ac:dyDescent="0.35">
      <c r="A164" s="3" t="s">
        <v>34</v>
      </c>
      <c r="B164" s="6">
        <v>8.0830540949199136E-4</v>
      </c>
      <c r="C164" s="8" t="s">
        <v>189</v>
      </c>
      <c r="D164" s="33" t="s">
        <v>336</v>
      </c>
      <c r="E164" s="13">
        <v>2723.26</v>
      </c>
      <c r="F164" s="13">
        <v>7771.56</v>
      </c>
      <c r="G164" s="13">
        <v>6007.82</v>
      </c>
      <c r="H164" s="13">
        <v>9794.42</v>
      </c>
      <c r="I164" s="13">
        <v>10971.39</v>
      </c>
      <c r="J164" s="12">
        <v>0</v>
      </c>
      <c r="K164" s="7">
        <f>$B164*'Janssen Payments'!I$22</f>
        <v>2083.5499284007401</v>
      </c>
      <c r="L164" s="7">
        <f>$B164*'Janssen Payments'!J$22</f>
        <v>2083.5499234631407</v>
      </c>
      <c r="M164" s="7">
        <f>$B164*'Janssen Payments'!K$22</f>
        <v>2083.5498893387803</v>
      </c>
      <c r="N164" s="7">
        <f>$B164*'Janssen Payments'!L$22</f>
        <v>2652.7235009351461</v>
      </c>
      <c r="O164" s="7">
        <f>$B164*'Janssen Payments'!M$22</f>
        <v>2652.7235058727456</v>
      </c>
      <c r="P164" s="7">
        <f>$B164*'Janssen Payments'!N$22</f>
        <v>2652.7235009351461</v>
      </c>
      <c r="Q164" s="7">
        <f>$B164*'Janssen Payments'!$O$22</f>
        <v>2479.6166634499668</v>
      </c>
      <c r="R164" s="7">
        <v>0</v>
      </c>
      <c r="S164" s="7">
        <f t="shared" si="2"/>
        <v>53956.886912395668</v>
      </c>
    </row>
    <row r="165" spans="1:19" customFormat="1" x14ac:dyDescent="0.35">
      <c r="A165" s="3" t="s">
        <v>190</v>
      </c>
      <c r="B165" s="6">
        <v>3.4954682537600003E-3</v>
      </c>
      <c r="C165" s="8" t="s">
        <v>190</v>
      </c>
      <c r="D165" s="33" t="s">
        <v>336</v>
      </c>
      <c r="E165" s="13">
        <v>11425.16</v>
      </c>
      <c r="F165" s="13">
        <v>32604.78</v>
      </c>
      <c r="G165" s="13">
        <v>25205.17</v>
      </c>
      <c r="H165" s="13">
        <v>41091.480000000003</v>
      </c>
      <c r="I165" s="13">
        <v>46029.33</v>
      </c>
      <c r="J165" s="12">
        <v>0</v>
      </c>
      <c r="K165" s="7">
        <f>$B165*'Janssen Payments'!I$22</f>
        <v>9010.1866748930479</v>
      </c>
      <c r="L165" s="7">
        <f>$B165*'Janssen Payments'!J$22</f>
        <v>9010.1866535406934</v>
      </c>
      <c r="M165" s="7">
        <f>$B165*'Janssen Payments'!K$22</f>
        <v>9010.1865059719457</v>
      </c>
      <c r="N165" s="7">
        <f>$B165*'Janssen Payments'!L$22</f>
        <v>11471.543645055564</v>
      </c>
      <c r="O165" s="7">
        <f>$B165*'Janssen Payments'!M$22</f>
        <v>11471.543666407917</v>
      </c>
      <c r="P165" s="7">
        <f>$B165*'Janssen Payments'!N$22</f>
        <v>11471.543645055564</v>
      </c>
      <c r="Q165" s="7">
        <f>$B165*'Janssen Payments'!$O$22</f>
        <v>10722.953510890156</v>
      </c>
      <c r="R165" s="7">
        <v>0</v>
      </c>
      <c r="S165" s="7">
        <f t="shared" si="2"/>
        <v>228524.06430181485</v>
      </c>
    </row>
    <row r="166" spans="1:19" customFormat="1" x14ac:dyDescent="0.35">
      <c r="A166" s="3" t="s">
        <v>60</v>
      </c>
      <c r="B166" s="6">
        <v>1.1137710597871301E-6</v>
      </c>
      <c r="C166" s="8" t="s">
        <v>191</v>
      </c>
      <c r="D166" s="33" t="s">
        <v>338</v>
      </c>
      <c r="E166" s="12">
        <f>3.75+27.51</f>
        <v>31.26</v>
      </c>
      <c r="F166" s="12">
        <v>10.71</v>
      </c>
      <c r="G166" s="12">
        <v>8.2799999999999994</v>
      </c>
      <c r="H166" s="12">
        <v>13.5</v>
      </c>
      <c r="I166" s="12">
        <v>15.12</v>
      </c>
      <c r="J166" s="12">
        <v>0</v>
      </c>
      <c r="K166" s="51">
        <f>$B166*'Janssen Payments'!I$22</f>
        <v>2.8709415829998646</v>
      </c>
      <c r="L166" s="51">
        <f>$B166*'Janssen Payments'!J$22</f>
        <v>2.8709415761963033</v>
      </c>
      <c r="M166" s="51">
        <f>$B166*'Janssen Payments'!K$22</f>
        <v>2.8709415291760498</v>
      </c>
      <c r="N166" s="51">
        <f>$B166*'Janssen Payments'!L$22</f>
        <v>3.6552108030745982</v>
      </c>
      <c r="O166" s="51">
        <f>$B166*'Janssen Payments'!M$22</f>
        <v>3.6552108098781595</v>
      </c>
      <c r="P166" s="51">
        <f>$B166*'Janssen Payments'!N$22</f>
        <v>3.6552108030745982</v>
      </c>
      <c r="Q166" s="51">
        <f>$B166*'Janssen Payments'!$O$22</f>
        <v>3.416685384862391</v>
      </c>
      <c r="R166" s="7">
        <v>0</v>
      </c>
      <c r="S166" s="7">
        <f>E166+F166+G166+H166+I166</f>
        <v>78.87</v>
      </c>
    </row>
    <row r="167" spans="1:19" customFormat="1" x14ac:dyDescent="0.35">
      <c r="A167" s="3" t="s">
        <v>192</v>
      </c>
      <c r="B167" s="6">
        <v>1.755734653739611E-4</v>
      </c>
      <c r="C167" s="8" t="s">
        <v>193</v>
      </c>
      <c r="D167" s="33" t="s">
        <v>336</v>
      </c>
      <c r="E167" s="12">
        <v>591.52</v>
      </c>
      <c r="F167" s="13">
        <v>1688.07</v>
      </c>
      <c r="G167" s="13">
        <v>1304.97</v>
      </c>
      <c r="H167" s="13">
        <v>2127.46</v>
      </c>
      <c r="I167" s="13">
        <v>2383.12</v>
      </c>
      <c r="J167" s="12">
        <v>0</v>
      </c>
      <c r="K167" s="7">
        <f>$B167*'Janssen Payments'!I$22</f>
        <v>452.57161082083655</v>
      </c>
      <c r="L167" s="7">
        <f>$B167*'Janssen Payments'!J$22</f>
        <v>452.57160974833175</v>
      </c>
      <c r="M167" s="7">
        <f>$B167*'Janssen Payments'!K$22</f>
        <v>452.5716023361183</v>
      </c>
      <c r="N167" s="7">
        <f>$B167*'Janssen Payments'!L$22</f>
        <v>576.20282169192183</v>
      </c>
      <c r="O167" s="7">
        <f>$B167*'Janssen Payments'!M$22</f>
        <v>576.20282276442663</v>
      </c>
      <c r="P167" s="7">
        <f>$B167*'Janssen Payments'!N$22</f>
        <v>576.20282169192183</v>
      </c>
      <c r="Q167" s="7">
        <f>$B167*'Janssen Payments'!$O$22</f>
        <v>538.60197555097909</v>
      </c>
      <c r="R167" s="7">
        <v>0</v>
      </c>
      <c r="S167" s="7">
        <f t="shared" si="2"/>
        <v>11720.065264604536</v>
      </c>
    </row>
    <row r="168" spans="1:19" customFormat="1" x14ac:dyDescent="0.35">
      <c r="A168" s="3" t="s">
        <v>192</v>
      </c>
      <c r="B168" s="6">
        <v>6.0352741926400005E-3</v>
      </c>
      <c r="C168" s="8" t="s">
        <v>192</v>
      </c>
      <c r="D168" s="33" t="s">
        <v>336</v>
      </c>
      <c r="E168" s="13">
        <v>19726.669999999998</v>
      </c>
      <c r="F168" s="13">
        <v>56295.4</v>
      </c>
      <c r="G168" s="13">
        <v>43519.23</v>
      </c>
      <c r="H168" s="13">
        <v>70948.539999999994</v>
      </c>
      <c r="I168" s="13">
        <v>79474.22</v>
      </c>
      <c r="J168" s="12">
        <v>0</v>
      </c>
      <c r="K168" s="7">
        <f>$B168*'Janssen Payments'!I$22</f>
        <v>15556.984976578333</v>
      </c>
      <c r="L168" s="7">
        <f>$B168*'Janssen Payments'!J$22</f>
        <v>15556.984939711368</v>
      </c>
      <c r="M168" s="7">
        <f>$B168*'Janssen Payments'!K$22</f>
        <v>15556.98468491922</v>
      </c>
      <c r="N168" s="7">
        <f>$B168*'Janssen Payments'!L$22</f>
        <v>19806.763009869657</v>
      </c>
      <c r="O168" s="7">
        <f>$B168*'Janssen Payments'!M$22</f>
        <v>19806.763046736622</v>
      </c>
      <c r="P168" s="7">
        <f>$B168*'Janssen Payments'!N$22</f>
        <v>19806.763009869657</v>
      </c>
      <c r="Q168" s="7">
        <f>$B168*'Janssen Payments'!$O$22</f>
        <v>18514.247561407621</v>
      </c>
      <c r="R168" s="7">
        <v>0</v>
      </c>
      <c r="S168" s="7">
        <f t="shared" si="2"/>
        <v>394569.55122909253</v>
      </c>
    </row>
    <row r="169" spans="1:19" customFormat="1" x14ac:dyDescent="0.35">
      <c r="A169" s="3" t="s">
        <v>194</v>
      </c>
      <c r="B169" s="6">
        <v>2.7857703115200002E-3</v>
      </c>
      <c r="C169" s="8" t="s">
        <v>194</v>
      </c>
      <c r="D169" s="33" t="s">
        <v>336</v>
      </c>
      <c r="E169" s="13">
        <v>9105.4599999999991</v>
      </c>
      <c r="F169" s="13">
        <v>25984.91</v>
      </c>
      <c r="G169" s="13">
        <v>20087.669999999998</v>
      </c>
      <c r="H169" s="13">
        <v>32748.53</v>
      </c>
      <c r="I169" s="13">
        <v>36683.82</v>
      </c>
      <c r="J169" s="12">
        <v>0</v>
      </c>
      <c r="K169" s="7">
        <f>$B169*'Janssen Payments'!I$22</f>
        <v>7180.8149060344904</v>
      </c>
      <c r="L169" s="7">
        <f>$B169*'Janssen Payments'!J$22</f>
        <v>7180.8148890173852</v>
      </c>
      <c r="M169" s="7">
        <f>$B169*'Janssen Payments'!K$22</f>
        <v>7180.8147714100687</v>
      </c>
      <c r="N169" s="7">
        <f>$B169*'Janssen Payments'!L$22</f>
        <v>9142.4334005397322</v>
      </c>
      <c r="O169" s="7">
        <f>$B169*'Janssen Payments'!M$22</f>
        <v>9142.4334175568383</v>
      </c>
      <c r="P169" s="7">
        <f>$B169*'Janssen Payments'!N$22</f>
        <v>9142.4334005397322</v>
      </c>
      <c r="Q169" s="7">
        <f>$B169*'Janssen Payments'!$O$22</f>
        <v>8545.8323102533159</v>
      </c>
      <c r="R169" s="7">
        <v>0</v>
      </c>
      <c r="S169" s="7">
        <f t="shared" si="2"/>
        <v>182125.96709535157</v>
      </c>
    </row>
    <row r="170" spans="1:19" customFormat="1" x14ac:dyDescent="0.35">
      <c r="A170" s="3" t="s">
        <v>52</v>
      </c>
      <c r="B170" s="6">
        <v>1.8602402996713994E-3</v>
      </c>
      <c r="C170" s="8" t="s">
        <v>52</v>
      </c>
      <c r="D170" s="33" t="s">
        <v>336</v>
      </c>
      <c r="E170" s="13">
        <v>6267.33</v>
      </c>
      <c r="F170" s="13">
        <v>17885.53</v>
      </c>
      <c r="G170" s="13">
        <v>13826.43</v>
      </c>
      <c r="H170" s="13">
        <v>22540.959999999999</v>
      </c>
      <c r="I170" s="13">
        <v>25249.64</v>
      </c>
      <c r="J170" s="12">
        <v>0</v>
      </c>
      <c r="K170" s="7">
        <f>$B170*'Janssen Payments'!I$22</f>
        <v>4795.097864833624</v>
      </c>
      <c r="L170" s="7">
        <f>$B170*'Janssen Payments'!J$22</f>
        <v>4795.0978534701944</v>
      </c>
      <c r="M170" s="7">
        <f>$B170*'Janssen Payments'!K$22</f>
        <v>4795.0977749361282</v>
      </c>
      <c r="N170" s="7">
        <f>$B170*'Janssen Payments'!L$22</f>
        <v>6104.9983117474767</v>
      </c>
      <c r="O170" s="7">
        <f>$B170*'Janssen Payments'!M$22</f>
        <v>6104.9983231109063</v>
      </c>
      <c r="P170" s="7">
        <f>$B170*'Janssen Payments'!N$22</f>
        <v>6104.9983117474767</v>
      </c>
      <c r="Q170" s="7">
        <f>$B170*'Janssen Payments'!$O$22</f>
        <v>5706.6089016840415</v>
      </c>
      <c r="R170" s="7">
        <v>0</v>
      </c>
      <c r="S170" s="7">
        <f t="shared" si="2"/>
        <v>124176.78734152985</v>
      </c>
    </row>
    <row r="171" spans="1:19" customFormat="1" x14ac:dyDescent="0.35">
      <c r="A171" s="3" t="s">
        <v>22</v>
      </c>
      <c r="B171" s="6">
        <v>2.9107497428383031E-4</v>
      </c>
      <c r="C171" s="8" t="s">
        <v>195</v>
      </c>
      <c r="D171" s="33" t="s">
        <v>336</v>
      </c>
      <c r="E171" s="12">
        <v>980.66</v>
      </c>
      <c r="F171" s="13">
        <v>2798.58</v>
      </c>
      <c r="G171" s="13">
        <v>2163.4499999999998</v>
      </c>
      <c r="H171" s="13">
        <v>3527.02</v>
      </c>
      <c r="I171" s="13">
        <v>3950.85</v>
      </c>
      <c r="J171" s="12">
        <v>0</v>
      </c>
      <c r="K171" s="7">
        <f>$B171*'Janssen Payments'!I$22</f>
        <v>750.29714598777628</v>
      </c>
      <c r="L171" s="7">
        <f>$B171*'Janssen Payments'!J$22</f>
        <v>750.29714420972107</v>
      </c>
      <c r="M171" s="7">
        <f>$B171*'Janssen Payments'!K$22</f>
        <v>750.29713192136171</v>
      </c>
      <c r="N171" s="7">
        <f>$B171*'Janssen Payments'!L$22</f>
        <v>955.25950432781349</v>
      </c>
      <c r="O171" s="7">
        <f>$B171*'Janssen Payments'!M$22</f>
        <v>955.2595061058687</v>
      </c>
      <c r="P171" s="7">
        <f>$B171*'Janssen Payments'!N$22</f>
        <v>955.25950432781349</v>
      </c>
      <c r="Q171" s="7">
        <f>$B171*'Janssen Payments'!$O$22</f>
        <v>892.92283346349086</v>
      </c>
      <c r="R171" s="7">
        <v>0</v>
      </c>
      <c r="S171" s="7">
        <f t="shared" si="2"/>
        <v>19430.152770343841</v>
      </c>
    </row>
    <row r="172" spans="1:19" customFormat="1" x14ac:dyDescent="0.35">
      <c r="A172" s="3" t="s">
        <v>196</v>
      </c>
      <c r="B172" s="6">
        <v>8.8503458614749527E-4</v>
      </c>
      <c r="C172" s="8" t="s">
        <v>196</v>
      </c>
      <c r="D172" s="33" t="s">
        <v>336</v>
      </c>
      <c r="E172" s="13">
        <v>2981.77</v>
      </c>
      <c r="F172" s="13">
        <v>8509.2800000000007</v>
      </c>
      <c r="G172" s="13">
        <v>6578.11</v>
      </c>
      <c r="H172" s="13">
        <v>10724.17</v>
      </c>
      <c r="I172" s="13">
        <v>12012.86</v>
      </c>
      <c r="J172" s="12">
        <v>0</v>
      </c>
      <c r="K172" s="7">
        <f>$B172*'Janssen Payments'!I$22</f>
        <v>2281.3329305302177</v>
      </c>
      <c r="L172" s="7">
        <f>$B172*'Janssen Payments'!J$22</f>
        <v>2281.332925123912</v>
      </c>
      <c r="M172" s="7">
        <f>$B172*'Janssen Payments'!K$22</f>
        <v>2281.3328877602635</v>
      </c>
      <c r="N172" s="7">
        <f>$B172*'Janssen Payments'!L$22</f>
        <v>2904.5358576647423</v>
      </c>
      <c r="O172" s="7">
        <f>$B172*'Janssen Payments'!M$22</f>
        <v>2904.535863071048</v>
      </c>
      <c r="P172" s="7">
        <f>$B172*'Janssen Payments'!N$22</f>
        <v>2904.5358576647423</v>
      </c>
      <c r="Q172" s="7">
        <f>$B172*'Janssen Payments'!$O$22</f>
        <v>2714.9966853743022</v>
      </c>
      <c r="R172" s="7">
        <v>0</v>
      </c>
      <c r="S172" s="7">
        <f t="shared" si="2"/>
        <v>59078.793007189226</v>
      </c>
    </row>
    <row r="173" spans="1:19" customFormat="1" x14ac:dyDescent="0.35">
      <c r="A173" s="3" t="s">
        <v>90</v>
      </c>
      <c r="B173" s="6">
        <v>3.9655533903852218E-4</v>
      </c>
      <c r="C173" s="8" t="s">
        <v>197</v>
      </c>
      <c r="D173" s="33" t="s">
        <v>336</v>
      </c>
      <c r="E173" s="13">
        <v>1336.03</v>
      </c>
      <c r="F173" s="13">
        <v>3812.73</v>
      </c>
      <c r="G173" s="13">
        <v>2947.44</v>
      </c>
      <c r="H173" s="13">
        <v>4805.1499999999996</v>
      </c>
      <c r="I173" s="13">
        <v>5382.57</v>
      </c>
      <c r="J173" s="12">
        <v>0</v>
      </c>
      <c r="K173" s="7">
        <f>$B173*'Janssen Payments'!I$22</f>
        <v>1022.1914125007851</v>
      </c>
      <c r="L173" s="7">
        <f>$B173*'Janssen Payments'!J$22</f>
        <v>1022.1914100783944</v>
      </c>
      <c r="M173" s="7">
        <f>$B173*'Janssen Payments'!K$22</f>
        <v>1022.1913933369534</v>
      </c>
      <c r="N173" s="7">
        <f>$B173*'Janssen Payments'!L$22</f>
        <v>1301.4284637163685</v>
      </c>
      <c r="O173" s="7">
        <f>$B173*'Janssen Payments'!M$22</f>
        <v>1301.4284661387589</v>
      </c>
      <c r="P173" s="7">
        <f>$B173*'Janssen Payments'!N$22</f>
        <v>1301.4284637163685</v>
      </c>
      <c r="Q173" s="7">
        <f>$B173*'Janssen Payments'!$O$22</f>
        <v>1216.5020982328504</v>
      </c>
      <c r="R173" s="7">
        <v>0</v>
      </c>
      <c r="S173" s="7">
        <f t="shared" si="2"/>
        <v>26471.281707720478</v>
      </c>
    </row>
    <row r="174" spans="1:19" customFormat="1" x14ac:dyDescent="0.35">
      <c r="A174" s="3" t="s">
        <v>198</v>
      </c>
      <c r="B174" s="6">
        <v>1.6931761809363479E-3</v>
      </c>
      <c r="C174" s="8" t="s">
        <v>199</v>
      </c>
      <c r="D174" s="33" t="s">
        <v>336</v>
      </c>
      <c r="E174" s="13">
        <v>5704.48</v>
      </c>
      <c r="F174" s="13">
        <v>16279.27</v>
      </c>
      <c r="G174" s="13">
        <v>12584.71</v>
      </c>
      <c r="H174" s="13">
        <v>20516.599999999999</v>
      </c>
      <c r="I174" s="13">
        <v>22982.02</v>
      </c>
      <c r="J174" s="12">
        <v>0</v>
      </c>
      <c r="K174" s="7">
        <f>$B174*'Janssen Payments'!I$22</f>
        <v>4364.4605976062312</v>
      </c>
      <c r="L174" s="7">
        <f>$B174*'Janssen Payments'!J$22</f>
        <v>4364.4605872633265</v>
      </c>
      <c r="M174" s="7">
        <f>$B174*'Janssen Payments'!K$22</f>
        <v>4364.4605157822334</v>
      </c>
      <c r="N174" s="7">
        <f>$B174*'Janssen Payments'!L$22</f>
        <v>5556.7217460740885</v>
      </c>
      <c r="O174" s="7">
        <f>$B174*'Janssen Payments'!M$22</f>
        <v>5556.7217564169932</v>
      </c>
      <c r="P174" s="7">
        <f>$B174*'Janssen Payments'!N$22</f>
        <v>5556.7217460740885</v>
      </c>
      <c r="Q174" s="7">
        <f>$B174*'Janssen Payments'!$O$22</f>
        <v>5194.1108188858934</v>
      </c>
      <c r="R174" s="7">
        <v>0</v>
      </c>
      <c r="S174" s="7">
        <f t="shared" si="2"/>
        <v>113024.73776810287</v>
      </c>
    </row>
    <row r="175" spans="1:19" customFormat="1" x14ac:dyDescent="0.35">
      <c r="A175" s="3" t="s">
        <v>200</v>
      </c>
      <c r="B175" s="6">
        <v>3.0158900913527429E-3</v>
      </c>
      <c r="C175" s="8" t="s">
        <v>200</v>
      </c>
      <c r="D175" s="33" t="s">
        <v>336</v>
      </c>
      <c r="E175" s="13">
        <v>10160.83</v>
      </c>
      <c r="F175" s="13">
        <v>28996.68</v>
      </c>
      <c r="G175" s="13">
        <v>22415.919999999998</v>
      </c>
      <c r="H175" s="13">
        <v>36544.230000000003</v>
      </c>
      <c r="I175" s="13">
        <v>40935.64</v>
      </c>
      <c r="J175" s="12">
        <v>0</v>
      </c>
      <c r="K175" s="7">
        <f>$B175*'Janssen Payments'!I$22</f>
        <v>7773.9892744894069</v>
      </c>
      <c r="L175" s="7">
        <f>$B175*'Janssen Payments'!J$22</f>
        <v>7773.9892560665967</v>
      </c>
      <c r="M175" s="7">
        <f>$B175*'Janssen Payments'!K$22</f>
        <v>7773.9891287442761</v>
      </c>
      <c r="N175" s="7">
        <f>$B175*'Janssen Payments'!L$22</f>
        <v>9897.648126092532</v>
      </c>
      <c r="O175" s="7">
        <f>$B175*'Janssen Payments'!M$22</f>
        <v>9897.648144515344</v>
      </c>
      <c r="P175" s="7">
        <f>$B175*'Janssen Payments'!N$22</f>
        <v>9897.648126092532</v>
      </c>
      <c r="Q175" s="7">
        <f>$B175*'Janssen Payments'!$O$22</f>
        <v>9251.7645407716373</v>
      </c>
      <c r="R175" s="7">
        <v>0</v>
      </c>
      <c r="S175" s="7">
        <f t="shared" si="2"/>
        <v>201319.97659677232</v>
      </c>
    </row>
    <row r="176" spans="1:19" customFormat="1" x14ac:dyDescent="0.35">
      <c r="A176" s="3" t="s">
        <v>34</v>
      </c>
      <c r="B176" s="6">
        <v>3.5999720152443767E-5</v>
      </c>
      <c r="C176" s="8" t="s">
        <v>201</v>
      </c>
      <c r="D176" s="33" t="s">
        <v>336</v>
      </c>
      <c r="E176" s="12">
        <v>121.29</v>
      </c>
      <c r="F176" s="12">
        <v>346.12</v>
      </c>
      <c r="G176" s="12">
        <v>267.57</v>
      </c>
      <c r="H176" s="12">
        <v>436.22</v>
      </c>
      <c r="I176" s="12">
        <v>488.64</v>
      </c>
      <c r="J176" s="12">
        <v>0</v>
      </c>
      <c r="K176" s="7">
        <f>$B176*'Janssen Payments'!I$22</f>
        <v>92.795635740223332</v>
      </c>
      <c r="L176" s="7">
        <f>$B176*'Janssen Payments'!J$22</f>
        <v>92.795635520316111</v>
      </c>
      <c r="M176" s="7">
        <f>$B176*'Janssen Payments'!K$22</f>
        <v>92.795634000510091</v>
      </c>
      <c r="N176" s="7">
        <f>$B176*'Janssen Payments'!L$22</f>
        <v>118.14507555441807</v>
      </c>
      <c r="O176" s="7">
        <f>$B176*'Janssen Payments'!M$22</f>
        <v>118.14507577432531</v>
      </c>
      <c r="P176" s="7">
        <f>$B176*'Janssen Payments'!N$22</f>
        <v>118.14507555441807</v>
      </c>
      <c r="Q176" s="7">
        <f>$B176*'Janssen Payments'!$O$22</f>
        <v>110.43536876195999</v>
      </c>
      <c r="R176" s="7">
        <v>0</v>
      </c>
      <c r="S176" s="7">
        <f t="shared" si="2"/>
        <v>2403.0975009061713</v>
      </c>
    </row>
    <row r="177" spans="1:19" customFormat="1" x14ac:dyDescent="0.35">
      <c r="A177" s="3" t="s">
        <v>202</v>
      </c>
      <c r="B177" s="6">
        <v>5.6166162893828348E-4</v>
      </c>
      <c r="C177" s="8" t="s">
        <v>202</v>
      </c>
      <c r="D177" s="33" t="s">
        <v>336</v>
      </c>
      <c r="E177" s="13">
        <v>1892.29</v>
      </c>
      <c r="F177" s="13">
        <v>5400.17</v>
      </c>
      <c r="G177" s="13">
        <v>4174.6099999999997</v>
      </c>
      <c r="H177" s="13">
        <v>6805.78</v>
      </c>
      <c r="I177" s="13">
        <v>7623.61</v>
      </c>
      <c r="J177" s="12">
        <v>0</v>
      </c>
      <c r="K177" s="7">
        <f>$B177*'Janssen Payments'!I$22</f>
        <v>1447.782030180015</v>
      </c>
      <c r="L177" s="7">
        <f>$B177*'Janssen Payments'!J$22</f>
        <v>1447.782026749059</v>
      </c>
      <c r="M177" s="7">
        <f>$B177*'Janssen Payments'!K$22</f>
        <v>1447.7820030372991</v>
      </c>
      <c r="N177" s="7">
        <f>$B177*'Janssen Payments'!L$22</f>
        <v>1843.2797617852173</v>
      </c>
      <c r="O177" s="7">
        <f>$B177*'Janssen Payments'!M$22</f>
        <v>1843.279765216173</v>
      </c>
      <c r="P177" s="7">
        <f>$B177*'Janssen Payments'!N$22</f>
        <v>1843.2797617852173</v>
      </c>
      <c r="Q177" s="7">
        <f>$B177*'Janssen Payments'!$O$22</f>
        <v>1722.9942024155396</v>
      </c>
      <c r="R177" s="7">
        <v>0</v>
      </c>
      <c r="S177" s="7">
        <f t="shared" si="2"/>
        <v>37492.639551168526</v>
      </c>
    </row>
    <row r="178" spans="1:19" customFormat="1" x14ac:dyDescent="0.35">
      <c r="A178" s="3" t="s">
        <v>36</v>
      </c>
      <c r="B178" s="6">
        <v>2.474159525737849E-5</v>
      </c>
      <c r="C178" s="8" t="s">
        <v>203</v>
      </c>
      <c r="D178" s="8" t="s">
        <v>337</v>
      </c>
      <c r="E178" s="12">
        <v>0</v>
      </c>
      <c r="F178" s="12">
        <v>0</v>
      </c>
      <c r="G178" s="12">
        <v>0</v>
      </c>
      <c r="H178" s="12">
        <v>0</v>
      </c>
      <c r="I178" s="12">
        <v>0</v>
      </c>
      <c r="J178" s="12">
        <v>0</v>
      </c>
      <c r="K178" s="12">
        <v>0</v>
      </c>
      <c r="L178" s="12">
        <v>0</v>
      </c>
      <c r="M178" s="12">
        <v>0</v>
      </c>
      <c r="N178" s="12">
        <v>0</v>
      </c>
      <c r="O178" s="12">
        <v>0</v>
      </c>
      <c r="P178" s="12">
        <v>0</v>
      </c>
      <c r="Q178" s="12">
        <v>0</v>
      </c>
      <c r="R178" s="7">
        <v>0</v>
      </c>
      <c r="S178" s="7">
        <f t="shared" si="2"/>
        <v>0</v>
      </c>
    </row>
    <row r="179" spans="1:19" customFormat="1" x14ac:dyDescent="0.35">
      <c r="A179" s="3" t="s">
        <v>45</v>
      </c>
      <c r="B179" s="6">
        <v>6.7058526245695587E-5</v>
      </c>
      <c r="C179" s="8" t="s">
        <v>204</v>
      </c>
      <c r="D179" s="33" t="s">
        <v>336</v>
      </c>
      <c r="E179" s="12">
        <v>225.93</v>
      </c>
      <c r="F179" s="12">
        <v>644.74</v>
      </c>
      <c r="G179" s="12">
        <v>498.42</v>
      </c>
      <c r="H179" s="12">
        <v>812.56</v>
      </c>
      <c r="I179" s="12">
        <v>910.21</v>
      </c>
      <c r="J179" s="12">
        <v>0</v>
      </c>
      <c r="K179" s="7">
        <f>$B179*'Janssen Payments'!I$22</f>
        <v>172.855192996531</v>
      </c>
      <c r="L179" s="7">
        <f>$B179*'Janssen Payments'!J$22</f>
        <v>172.85519258689854</v>
      </c>
      <c r="M179" s="7">
        <f>$B179*'Janssen Payments'!K$22</f>
        <v>172.85518975587786</v>
      </c>
      <c r="N179" s="7">
        <f>$B179*'Janssen Payments'!L$22</f>
        <v>220.07489548020337</v>
      </c>
      <c r="O179" s="7">
        <f>$B179*'Janssen Payments'!M$22</f>
        <v>220.07489588983583</v>
      </c>
      <c r="P179" s="7">
        <f>$B179*'Janssen Payments'!N$22</f>
        <v>220.07489548020337</v>
      </c>
      <c r="Q179" s="7">
        <f>$B179*'Janssen Payments'!$O$22</f>
        <v>205.71362897314768</v>
      </c>
      <c r="R179" s="7">
        <v>0</v>
      </c>
      <c r="S179" s="7">
        <f t="shared" si="2"/>
        <v>4476.3638911626977</v>
      </c>
    </row>
    <row r="180" spans="1:19" customFormat="1" x14ac:dyDescent="0.35">
      <c r="A180" s="3" t="s">
        <v>45</v>
      </c>
      <c r="B180" s="6">
        <v>1.1772633736289928E-3</v>
      </c>
      <c r="C180" s="8" t="s">
        <v>205</v>
      </c>
      <c r="D180" s="33" t="s">
        <v>336</v>
      </c>
      <c r="E180" s="13">
        <v>3966.32</v>
      </c>
      <c r="F180" s="13">
        <v>11318.96</v>
      </c>
      <c r="G180" s="13">
        <v>8750.1299999999992</v>
      </c>
      <c r="H180" s="13">
        <v>14265.17</v>
      </c>
      <c r="I180" s="13">
        <v>15979.37</v>
      </c>
      <c r="J180" s="12">
        <v>0</v>
      </c>
      <c r="K180" s="7">
        <f>$B180*'Janssen Payments'!I$22</f>
        <v>3034.6042337822614</v>
      </c>
      <c r="L180" s="7">
        <f>$B180*'Janssen Payments'!J$22</f>
        <v>3034.6042265908522</v>
      </c>
      <c r="M180" s="7">
        <f>$B180*'Janssen Payments'!K$22</f>
        <v>3034.6041768901337</v>
      </c>
      <c r="N180" s="7">
        <f>$B180*'Janssen Payments'!L$22</f>
        <v>3863.5819844117532</v>
      </c>
      <c r="O180" s="7">
        <f>$B180*'Janssen Payments'!M$22</f>
        <v>3863.5819916031624</v>
      </c>
      <c r="P180" s="7">
        <f>$B180*'Janssen Payments'!N$22</f>
        <v>3863.5819844117532</v>
      </c>
      <c r="Q180" s="7">
        <f>$B180*'Janssen Payments'!$O$22</f>
        <v>3611.45904040705</v>
      </c>
      <c r="R180" s="7">
        <v>0</v>
      </c>
      <c r="S180" s="7">
        <f t="shared" si="2"/>
        <v>78585.967638096961</v>
      </c>
    </row>
    <row r="181" spans="1:19" customFormat="1" x14ac:dyDescent="0.35">
      <c r="A181" s="3" t="s">
        <v>45</v>
      </c>
      <c r="B181" s="6">
        <v>1.7767050856320001E-2</v>
      </c>
      <c r="C181" s="8" t="s">
        <v>45</v>
      </c>
      <c r="D181" s="33" t="s">
        <v>336</v>
      </c>
      <c r="E181" s="13">
        <v>58072.72</v>
      </c>
      <c r="F181" s="13">
        <v>165726.23000000001</v>
      </c>
      <c r="G181" s="13">
        <v>128114.88</v>
      </c>
      <c r="H181" s="13">
        <v>208863.14</v>
      </c>
      <c r="I181" s="13">
        <v>233961.62</v>
      </c>
      <c r="J181" s="12">
        <v>0</v>
      </c>
      <c r="K181" s="7">
        <f>$B181*'Janssen Payments'!I$22</f>
        <v>45797.710994961024</v>
      </c>
      <c r="L181" s="7">
        <f>$B181*'Janssen Payments'!J$22</f>
        <v>45797.710886429544</v>
      </c>
      <c r="M181" s="7">
        <f>$B181*'Janssen Payments'!K$22</f>
        <v>45797.710136355083</v>
      </c>
      <c r="N181" s="7">
        <f>$B181*'Janssen Payments'!L$22</f>
        <v>58308.496758040004</v>
      </c>
      <c r="O181" s="7">
        <f>$B181*'Janssen Payments'!M$22</f>
        <v>58308.496866571484</v>
      </c>
      <c r="P181" s="7">
        <f>$B181*'Janssen Payments'!N$22</f>
        <v>58308.496758040004</v>
      </c>
      <c r="Q181" s="7">
        <f>$B181*'Janssen Payments'!$O$22</f>
        <v>54503.501827833032</v>
      </c>
      <c r="R181" s="7">
        <v>0</v>
      </c>
      <c r="S181" s="7">
        <f t="shared" si="2"/>
        <v>1161560.7142282303</v>
      </c>
    </row>
    <row r="182" spans="1:19" customFormat="1" x14ac:dyDescent="0.35">
      <c r="A182" s="3" t="s">
        <v>206</v>
      </c>
      <c r="B182" s="6">
        <v>6.9578341280000008E-3</v>
      </c>
      <c r="C182" s="8" t="s">
        <v>206</v>
      </c>
      <c r="D182" s="33" t="s">
        <v>336</v>
      </c>
      <c r="E182" s="13">
        <v>22742.12</v>
      </c>
      <c r="F182" s="13">
        <v>64900.79</v>
      </c>
      <c r="G182" s="13">
        <v>50171.64</v>
      </c>
      <c r="H182" s="13">
        <v>81793.83</v>
      </c>
      <c r="I182" s="13">
        <v>91622.75</v>
      </c>
      <c r="J182" s="12">
        <v>0</v>
      </c>
      <c r="K182" s="7">
        <f>$B182*'Janssen Payments'!I$22</f>
        <v>17935.046121155847</v>
      </c>
      <c r="L182" s="7">
        <f>$B182*'Janssen Payments'!J$22</f>
        <v>17935.046078653348</v>
      </c>
      <c r="M182" s="7">
        <f>$B182*'Janssen Payments'!K$22</f>
        <v>17935.045784913338</v>
      </c>
      <c r="N182" s="7">
        <f>$B182*'Janssen Payments'!L$22</f>
        <v>22834.450803136773</v>
      </c>
      <c r="O182" s="7">
        <f>$B182*'Janssen Payments'!M$22</f>
        <v>22834.450845639272</v>
      </c>
      <c r="P182" s="7">
        <f>$B182*'Janssen Payments'!N$22</f>
        <v>22834.450803136773</v>
      </c>
      <c r="Q182" s="7">
        <f>$B182*'Janssen Payments'!$O$22</f>
        <v>21344.359746587357</v>
      </c>
      <c r="R182" s="7">
        <v>0</v>
      </c>
      <c r="S182" s="7">
        <f t="shared" si="2"/>
        <v>454883.98018322268</v>
      </c>
    </row>
    <row r="183" spans="1:19" customFormat="1" x14ac:dyDescent="0.35">
      <c r="A183" s="3" t="s">
        <v>207</v>
      </c>
      <c r="B183" s="6">
        <v>9.8584816064000011E-4</v>
      </c>
      <c r="C183" s="8" t="s">
        <v>207</v>
      </c>
      <c r="D183" s="33" t="s">
        <v>336</v>
      </c>
      <c r="E183" s="13">
        <v>3222.31</v>
      </c>
      <c r="F183" s="13">
        <v>9195.7199999999993</v>
      </c>
      <c r="G183" s="13">
        <v>7108.77</v>
      </c>
      <c r="H183" s="13">
        <v>11589.28</v>
      </c>
      <c r="I183" s="13">
        <v>12981.93</v>
      </c>
      <c r="J183" s="12">
        <v>0</v>
      </c>
      <c r="K183" s="7">
        <f>$B183*'Janssen Payments'!I$22</f>
        <v>2541.1977210525215</v>
      </c>
      <c r="L183" s="7">
        <f>$B183*'Janssen Payments'!J$22</f>
        <v>2541.1977150303874</v>
      </c>
      <c r="M183" s="7">
        <f>$B183*'Janssen Payments'!K$22</f>
        <v>2541.1976734106761</v>
      </c>
      <c r="N183" s="7">
        <f>$B183*'Janssen Payments'!L$22</f>
        <v>3235.3891899931996</v>
      </c>
      <c r="O183" s="7">
        <f>$B183*'Janssen Payments'!M$22</f>
        <v>3235.3891960153333</v>
      </c>
      <c r="P183" s="7">
        <f>$B183*'Janssen Payments'!N$22</f>
        <v>3235.3891899931996</v>
      </c>
      <c r="Q183" s="7">
        <f>$B183*'Janssen Payments'!$O$22</f>
        <v>3024.2597637578524</v>
      </c>
      <c r="R183" s="7">
        <v>0</v>
      </c>
      <c r="S183" s="7">
        <f t="shared" si="2"/>
        <v>64452.030449253172</v>
      </c>
    </row>
    <row r="184" spans="1:19" customFormat="1" x14ac:dyDescent="0.35">
      <c r="A184" s="3" t="s">
        <v>75</v>
      </c>
      <c r="B184" s="6">
        <v>2.8172487492943241E-4</v>
      </c>
      <c r="C184" s="8" t="s">
        <v>208</v>
      </c>
      <c r="D184" s="33" t="s">
        <v>336</v>
      </c>
      <c r="E184" s="12">
        <v>949.16</v>
      </c>
      <c r="F184" s="13">
        <v>2708.68</v>
      </c>
      <c r="G184" s="13">
        <v>2093.9499999999998</v>
      </c>
      <c r="H184" s="13">
        <v>3413.72</v>
      </c>
      <c r="I184" s="13">
        <v>3823.94</v>
      </c>
      <c r="J184" s="12">
        <v>0</v>
      </c>
      <c r="K184" s="7">
        <f>$B184*'Janssen Payments'!I$22</f>
        <v>726.19561380498499</v>
      </c>
      <c r="L184" s="7">
        <f>$B184*'Janssen Payments'!J$22</f>
        <v>726.19561208404559</v>
      </c>
      <c r="M184" s="7">
        <f>$B184*'Janssen Payments'!K$22</f>
        <v>726.19560019042092</v>
      </c>
      <c r="N184" s="7">
        <f>$B184*'Janssen Payments'!L$22</f>
        <v>924.57403816338649</v>
      </c>
      <c r="O184" s="7">
        <f>$B184*'Janssen Payments'!M$22</f>
        <v>924.57403988432577</v>
      </c>
      <c r="P184" s="7">
        <f>$B184*'Janssen Payments'!N$22</f>
        <v>924.57403816338649</v>
      </c>
      <c r="Q184" s="7">
        <f>$B184*'Janssen Payments'!$O$22</f>
        <v>864.23978632336468</v>
      </c>
      <c r="R184" s="7">
        <v>0</v>
      </c>
      <c r="S184" s="7">
        <f t="shared" si="2"/>
        <v>18805.998728613911</v>
      </c>
    </row>
    <row r="185" spans="1:19" customFormat="1" x14ac:dyDescent="0.35">
      <c r="A185" s="3" t="s">
        <v>63</v>
      </c>
      <c r="B185" s="6">
        <v>1.3945446173540106E-4</v>
      </c>
      <c r="C185" s="8" t="s">
        <v>209</v>
      </c>
      <c r="D185" s="33" t="s">
        <v>336</v>
      </c>
      <c r="E185" s="12">
        <v>469.84</v>
      </c>
      <c r="F185" s="13">
        <v>1340.8</v>
      </c>
      <c r="G185" s="13">
        <v>1036.51</v>
      </c>
      <c r="H185" s="13">
        <v>1689.8</v>
      </c>
      <c r="I185" s="13">
        <v>1892.86</v>
      </c>
      <c r="J185" s="12">
        <v>0</v>
      </c>
      <c r="K185" s="7">
        <f>$B185*'Janssen Payments'!I$22</f>
        <v>359.46850083135251</v>
      </c>
      <c r="L185" s="7">
        <f>$B185*'Janssen Payments'!J$22</f>
        <v>359.46849997948357</v>
      </c>
      <c r="M185" s="7">
        <f>$B185*'Janssen Payments'!K$22</f>
        <v>359.46849409211194</v>
      </c>
      <c r="N185" s="7">
        <f>$B185*'Janssen Payments'!L$22</f>
        <v>457.66627763663973</v>
      </c>
      <c r="O185" s="7">
        <f>$B185*'Janssen Payments'!M$22</f>
        <v>457.66627848850868</v>
      </c>
      <c r="P185" s="7">
        <f>$B185*'Janssen Payments'!N$22</f>
        <v>457.66627763663973</v>
      </c>
      <c r="Q185" s="7">
        <f>$B185*'Janssen Payments'!$O$22</f>
        <v>427.80068406182346</v>
      </c>
      <c r="R185" s="7">
        <v>0</v>
      </c>
      <c r="S185" s="7">
        <f t="shared" si="2"/>
        <v>9309.0150127265588</v>
      </c>
    </row>
    <row r="186" spans="1:19" customFormat="1" x14ac:dyDescent="0.35">
      <c r="A186" s="3" t="s">
        <v>168</v>
      </c>
      <c r="B186" s="6">
        <v>2.0038613874457907E-4</v>
      </c>
      <c r="C186" s="8" t="s">
        <v>210</v>
      </c>
      <c r="D186" s="33" t="s">
        <v>336</v>
      </c>
      <c r="E186" s="12">
        <v>675.12</v>
      </c>
      <c r="F186" s="13">
        <v>1926.64</v>
      </c>
      <c r="G186" s="13">
        <v>1489.39</v>
      </c>
      <c r="H186" s="13">
        <v>2428.12</v>
      </c>
      <c r="I186" s="13">
        <v>2719.91</v>
      </c>
      <c r="J186" s="12">
        <v>0</v>
      </c>
      <c r="K186" s="7">
        <f>$B186*'Janssen Payments'!I$22</f>
        <v>516.53065800483819</v>
      </c>
      <c r="L186" s="7">
        <f>$B186*'Janssen Payments'!J$22</f>
        <v>516.53065678076314</v>
      </c>
      <c r="M186" s="7">
        <f>$B186*'Janssen Payments'!K$22</f>
        <v>516.53064832102905</v>
      </c>
      <c r="N186" s="7">
        <f>$B186*'Janssen Payments'!L$22</f>
        <v>657.63387609081997</v>
      </c>
      <c r="O186" s="7">
        <f>$B186*'Janssen Payments'!M$22</f>
        <v>657.63387731489502</v>
      </c>
      <c r="P186" s="7">
        <f>$B186*'Janssen Payments'!N$22</f>
        <v>657.63387609081997</v>
      </c>
      <c r="Q186" s="7">
        <f>$B186*'Janssen Payments'!$O$22</f>
        <v>614.7191431859128</v>
      </c>
      <c r="R186" s="7">
        <v>0</v>
      </c>
      <c r="S186" s="7">
        <f t="shared" si="2"/>
        <v>13376.392735789079</v>
      </c>
    </row>
    <row r="187" spans="1:19" customFormat="1" x14ac:dyDescent="0.35">
      <c r="A187" s="3" t="s">
        <v>63</v>
      </c>
      <c r="B187" s="6">
        <v>8.4457765175366002E-5</v>
      </c>
      <c r="C187" s="8" t="s">
        <v>211</v>
      </c>
      <c r="D187" s="33" t="s">
        <v>336</v>
      </c>
      <c r="E187" s="12">
        <v>284.55</v>
      </c>
      <c r="F187" s="12">
        <v>812.03</v>
      </c>
      <c r="G187" s="12">
        <v>627.74</v>
      </c>
      <c r="H187" s="13">
        <v>1023.39</v>
      </c>
      <c r="I187" s="13">
        <v>1146.3699999999999</v>
      </c>
      <c r="J187" s="12">
        <v>0</v>
      </c>
      <c r="K187" s="7">
        <f>$B187*'Janssen Payments'!I$22</f>
        <v>217.70480380010852</v>
      </c>
      <c r="L187" s="7">
        <f>$B187*'Janssen Payments'!J$22</f>
        <v>217.70480328419137</v>
      </c>
      <c r="M187" s="7">
        <f>$B187*'Janssen Payments'!K$22</f>
        <v>217.70479971862423</v>
      </c>
      <c r="N187" s="7">
        <f>$B187*'Janssen Payments'!L$22</f>
        <v>277.17629485860215</v>
      </c>
      <c r="O187" s="7">
        <f>$B187*'Janssen Payments'!M$22</f>
        <v>277.17629537451933</v>
      </c>
      <c r="P187" s="7">
        <f>$B187*'Janssen Payments'!N$22</f>
        <v>277.17629485860215</v>
      </c>
      <c r="Q187" s="7">
        <f>$B187*'Janssen Payments'!$O$22</f>
        <v>259.08880409225668</v>
      </c>
      <c r="R187" s="7">
        <v>0</v>
      </c>
      <c r="S187" s="7">
        <f t="shared" si="2"/>
        <v>5637.8120959869038</v>
      </c>
    </row>
    <row r="188" spans="1:19" customFormat="1" x14ac:dyDescent="0.35">
      <c r="A188" s="3" t="s">
        <v>105</v>
      </c>
      <c r="B188" s="6">
        <v>2.0211675856595515E-4</v>
      </c>
      <c r="C188" s="8" t="s">
        <v>212</v>
      </c>
      <c r="D188" s="33" t="s">
        <v>336</v>
      </c>
      <c r="E188" s="12">
        <v>680.95</v>
      </c>
      <c r="F188" s="13">
        <v>1943.28</v>
      </c>
      <c r="G188" s="13">
        <v>1502.25</v>
      </c>
      <c r="H188" s="13">
        <v>2449.09</v>
      </c>
      <c r="I188" s="13">
        <v>2743.4</v>
      </c>
      <c r="J188" s="12">
        <v>0</v>
      </c>
      <c r="K188" s="7">
        <f>$B188*'Janssen Payments'!I$22</f>
        <v>520.99163619770127</v>
      </c>
      <c r="L188" s="7">
        <f>$B188*'Janssen Payments'!J$22</f>
        <v>520.99163496305459</v>
      </c>
      <c r="M188" s="7">
        <f>$B188*'Janssen Payments'!K$22</f>
        <v>520.99162643025863</v>
      </c>
      <c r="N188" s="7">
        <f>$B188*'Janssen Payments'!L$22</f>
        <v>663.31348161793596</v>
      </c>
      <c r="O188" s="7">
        <f>$B188*'Janssen Payments'!M$22</f>
        <v>663.31348285258275</v>
      </c>
      <c r="P188" s="7">
        <f>$B188*'Janssen Payments'!N$22</f>
        <v>663.31348161793596</v>
      </c>
      <c r="Q188" s="7">
        <f>$B188*'Janssen Payments'!$O$22</f>
        <v>620.02811884880975</v>
      </c>
      <c r="R188" s="7">
        <v>0</v>
      </c>
      <c r="S188" s="7">
        <f t="shared" si="2"/>
        <v>13491.913462528279</v>
      </c>
    </row>
    <row r="189" spans="1:19" customFormat="1" x14ac:dyDescent="0.35">
      <c r="A189" s="3" t="s">
        <v>105</v>
      </c>
      <c r="B189" s="6">
        <v>9.7913195231527661E-4</v>
      </c>
      <c r="C189" s="8" t="s">
        <v>213</v>
      </c>
      <c r="D189" s="33" t="s">
        <v>336</v>
      </c>
      <c r="E189" s="13">
        <v>3298.79</v>
      </c>
      <c r="F189" s="13">
        <v>9414</v>
      </c>
      <c r="G189" s="13">
        <v>7277.5</v>
      </c>
      <c r="H189" s="13">
        <v>11864.37</v>
      </c>
      <c r="I189" s="13">
        <v>13290.07</v>
      </c>
      <c r="J189" s="12">
        <v>0</v>
      </c>
      <c r="K189" s="7">
        <f>$B189*'Janssen Payments'!I$22</f>
        <v>2523.8855081070496</v>
      </c>
      <c r="L189" s="7">
        <f>$B189*'Janssen Payments'!J$22</f>
        <v>2523.8855021259424</v>
      </c>
      <c r="M189" s="7">
        <f>$B189*'Janssen Payments'!K$22</f>
        <v>2523.8854607897701</v>
      </c>
      <c r="N189" s="7">
        <f>$B189*'Janssen Payments'!L$22</f>
        <v>3213.3477147649592</v>
      </c>
      <c r="O189" s="7">
        <f>$B189*'Janssen Payments'!M$22</f>
        <v>3213.3477207460669</v>
      </c>
      <c r="P189" s="7">
        <f>$B189*'Janssen Payments'!N$22</f>
        <v>3213.3477147649592</v>
      </c>
      <c r="Q189" s="7">
        <f>$B189*'Janssen Payments'!$O$22</f>
        <v>3003.6566329589973</v>
      </c>
      <c r="R189" s="7">
        <v>0</v>
      </c>
      <c r="S189" s="7">
        <f t="shared" si="2"/>
        <v>65360.086254257752</v>
      </c>
    </row>
    <row r="190" spans="1:19" customFormat="1" x14ac:dyDescent="0.35">
      <c r="A190" s="3" t="s">
        <v>105</v>
      </c>
      <c r="B190" s="6">
        <v>1.9100374032320001E-2</v>
      </c>
      <c r="C190" s="8" t="s">
        <v>105</v>
      </c>
      <c r="D190" s="33" t="s">
        <v>336</v>
      </c>
      <c r="E190" s="13">
        <v>62430.77</v>
      </c>
      <c r="F190" s="13">
        <v>178163.1</v>
      </c>
      <c r="G190" s="13">
        <v>137729.22</v>
      </c>
      <c r="H190" s="13">
        <v>224537.21</v>
      </c>
      <c r="I190" s="13">
        <v>251519.2</v>
      </c>
      <c r="J190" s="12">
        <v>0</v>
      </c>
      <c r="K190" s="7">
        <f>$B190*'Janssen Payments'!I$22</f>
        <v>49234.586927333927</v>
      </c>
      <c r="L190" s="7">
        <f>$B190*'Janssen Payments'!J$22</f>
        <v>49234.586810657733</v>
      </c>
      <c r="M190" s="7">
        <f>$B190*'Janssen Payments'!K$22</f>
        <v>49234.586004294149</v>
      </c>
      <c r="N190" s="7">
        <f>$B190*'Janssen Payments'!L$22</f>
        <v>62684.240977715097</v>
      </c>
      <c r="O190" s="7">
        <f>$B190*'Janssen Payments'!M$22</f>
        <v>62684.241094391291</v>
      </c>
      <c r="P190" s="7">
        <f>$B190*'Janssen Payments'!N$22</f>
        <v>62684.240977715097</v>
      </c>
      <c r="Q190" s="7">
        <f>$B190*'Janssen Payments'!$O$22</f>
        <v>58593.701307076262</v>
      </c>
      <c r="R190" s="7">
        <v>0</v>
      </c>
      <c r="S190" s="7">
        <f t="shared" si="2"/>
        <v>1248729.6840991834</v>
      </c>
    </row>
    <row r="191" spans="1:19" customFormat="1" x14ac:dyDescent="0.35">
      <c r="A191" s="3" t="s">
        <v>105</v>
      </c>
      <c r="B191" s="6">
        <v>2.802951365476971E-4</v>
      </c>
      <c r="C191" s="8" t="s">
        <v>214</v>
      </c>
      <c r="D191" s="33" t="s">
        <v>336</v>
      </c>
      <c r="E191" s="12">
        <v>944.34</v>
      </c>
      <c r="F191" s="13">
        <v>2694.94</v>
      </c>
      <c r="G191" s="13">
        <v>2083.3200000000002</v>
      </c>
      <c r="H191" s="13">
        <v>3396.4</v>
      </c>
      <c r="I191" s="13">
        <v>3804.54</v>
      </c>
      <c r="J191" s="12">
        <v>0</v>
      </c>
      <c r="K191" s="7">
        <f>$B191*'Janssen Payments'!I$22</f>
        <v>722.51021065425186</v>
      </c>
      <c r="L191" s="7">
        <f>$B191*'Janssen Payments'!J$22</f>
        <v>722.51020894204612</v>
      </c>
      <c r="M191" s="7">
        <f>$B191*'Janssen Payments'!K$22</f>
        <v>722.51019710878097</v>
      </c>
      <c r="N191" s="7">
        <f>$B191*'Janssen Payments'!L$22</f>
        <v>919.88187532384552</v>
      </c>
      <c r="O191" s="7">
        <f>$B191*'Janssen Payments'!M$22</f>
        <v>919.88187703605115</v>
      </c>
      <c r="P191" s="7">
        <f>$B191*'Janssen Payments'!N$22</f>
        <v>919.88187532384552</v>
      </c>
      <c r="Q191" s="7">
        <f>$B191*'Janssen Payments'!$O$22</f>
        <v>859.85381652272588</v>
      </c>
      <c r="R191" s="7">
        <v>0</v>
      </c>
      <c r="S191" s="7">
        <f t="shared" si="2"/>
        <v>18710.570060911545</v>
      </c>
    </row>
    <row r="192" spans="1:19" customFormat="1" x14ac:dyDescent="0.35">
      <c r="A192" s="3" t="s">
        <v>75</v>
      </c>
      <c r="B192" s="6">
        <v>2.6908783542163952E-4</v>
      </c>
      <c r="C192" s="8" t="s">
        <v>215</v>
      </c>
      <c r="D192" s="33" t="s">
        <v>336</v>
      </c>
      <c r="E192" s="12">
        <v>906.58</v>
      </c>
      <c r="F192" s="13">
        <v>2587.1799999999998</v>
      </c>
      <c r="G192" s="13">
        <v>2000.02</v>
      </c>
      <c r="H192" s="13">
        <v>3260.6</v>
      </c>
      <c r="I192" s="13">
        <v>3652.42</v>
      </c>
      <c r="J192" s="12">
        <v>0</v>
      </c>
      <c r="K192" s="7">
        <f>$B192*'Janssen Payments'!I$22</f>
        <v>693.62141294913863</v>
      </c>
      <c r="L192" s="7">
        <f>$B192*'Janssen Payments'!J$22</f>
        <v>693.62141130539362</v>
      </c>
      <c r="M192" s="7">
        <f>$B192*'Janssen Payments'!K$22</f>
        <v>693.62139994526888</v>
      </c>
      <c r="N192" s="7">
        <f>$B192*'Janssen Payments'!L$22</f>
        <v>883.10138278967497</v>
      </c>
      <c r="O192" s="7">
        <f>$B192*'Janssen Payments'!M$22</f>
        <v>883.10138443341987</v>
      </c>
      <c r="P192" s="7">
        <f>$B192*'Janssen Payments'!N$22</f>
        <v>883.10138278967497</v>
      </c>
      <c r="Q192" s="7">
        <f>$B192*'Janssen Payments'!$O$22</f>
        <v>825.473481691193</v>
      </c>
      <c r="R192" s="7">
        <v>0</v>
      </c>
      <c r="S192" s="7">
        <f t="shared" si="2"/>
        <v>17962.441855903762</v>
      </c>
    </row>
    <row r="193" spans="1:19" customFormat="1" x14ac:dyDescent="0.35">
      <c r="A193" s="3" t="s">
        <v>216</v>
      </c>
      <c r="B193" s="6">
        <v>5.2318127209600006E-3</v>
      </c>
      <c r="C193" s="8" t="s">
        <v>216</v>
      </c>
      <c r="D193" s="33" t="s">
        <v>336</v>
      </c>
      <c r="E193" s="13">
        <v>17100.509999999998</v>
      </c>
      <c r="F193" s="13">
        <v>48800.93</v>
      </c>
      <c r="G193" s="13">
        <v>37725.620000000003</v>
      </c>
      <c r="H193" s="13">
        <v>61503.33</v>
      </c>
      <c r="I193" s="13">
        <v>68894.009999999995</v>
      </c>
      <c r="J193" s="12">
        <v>0</v>
      </c>
      <c r="K193" s="7">
        <f>$B193*'Janssen Payments'!I$22</f>
        <v>13485.9211532597</v>
      </c>
      <c r="L193" s="7">
        <f>$B193*'Janssen Payments'!J$22</f>
        <v>13485.921121300746</v>
      </c>
      <c r="M193" s="7">
        <f>$B193*'Janssen Payments'!K$22</f>
        <v>13485.92090042846</v>
      </c>
      <c r="N193" s="7">
        <f>$B193*'Janssen Payments'!L$22</f>
        <v>17169.936504698788</v>
      </c>
      <c r="O193" s="7">
        <f>$B193*'Janssen Payments'!M$22</f>
        <v>17169.936536657744</v>
      </c>
      <c r="P193" s="7">
        <f>$B193*'Janssen Payments'!N$22</f>
        <v>17169.936504698788</v>
      </c>
      <c r="Q193" s="7">
        <f>$B193*'Janssen Payments'!$O$22</f>
        <v>16049.490515095289</v>
      </c>
      <c r="R193" s="7">
        <v>0</v>
      </c>
      <c r="S193" s="7">
        <f t="shared" si="2"/>
        <v>342041.46323613951</v>
      </c>
    </row>
    <row r="194" spans="1:19" customFormat="1" x14ac:dyDescent="0.35">
      <c r="A194" s="3" t="s">
        <v>217</v>
      </c>
      <c r="B194" s="6">
        <v>3.2670462068869281E-4</v>
      </c>
      <c r="C194" s="8" t="s">
        <v>218</v>
      </c>
      <c r="D194" s="33" t="s">
        <v>336</v>
      </c>
      <c r="E194" s="13">
        <v>1100.7</v>
      </c>
      <c r="F194" s="13">
        <v>3141.15</v>
      </c>
      <c r="G194" s="13">
        <v>2428.27</v>
      </c>
      <c r="H194" s="13">
        <v>3958.75</v>
      </c>
      <c r="I194" s="13">
        <v>4434.47</v>
      </c>
      <c r="J194" s="12">
        <v>0</v>
      </c>
      <c r="K194" s="7">
        <f>$B194*'Janssen Payments'!I$22</f>
        <v>842.13885129375865</v>
      </c>
      <c r="L194" s="7">
        <f>$B194*'Janssen Payments'!J$22</f>
        <v>842.13884929805693</v>
      </c>
      <c r="M194" s="7">
        <f>$B194*'Janssen Payments'!K$22</f>
        <v>842.13883550551498</v>
      </c>
      <c r="N194" s="7">
        <f>$B194*'Janssen Payments'!L$22</f>
        <v>1072.1900595836416</v>
      </c>
      <c r="O194" s="7">
        <f>$B194*'Janssen Payments'!M$22</f>
        <v>1072.1900615793436</v>
      </c>
      <c r="P194" s="7">
        <f>$B194*'Janssen Payments'!N$22</f>
        <v>1072.1900595836416</v>
      </c>
      <c r="Q194" s="7">
        <f>$B194*'Janssen Payments'!$O$22</f>
        <v>1002.2229369897715</v>
      </c>
      <c r="R194" s="7">
        <v>0</v>
      </c>
      <c r="S194" s="7">
        <f t="shared" si="2"/>
        <v>21808.549653833728</v>
      </c>
    </row>
    <row r="195" spans="1:19" customFormat="1" x14ac:dyDescent="0.35">
      <c r="A195" s="3" t="s">
        <v>47</v>
      </c>
      <c r="B195" s="6">
        <v>1.2061330594154156E-4</v>
      </c>
      <c r="C195" s="8" t="s">
        <v>219</v>
      </c>
      <c r="D195" s="8" t="s">
        <v>337</v>
      </c>
      <c r="E195" s="12">
        <v>0</v>
      </c>
      <c r="F195" s="12">
        <v>0</v>
      </c>
      <c r="G195" s="12">
        <v>0</v>
      </c>
      <c r="H195" s="12">
        <v>0</v>
      </c>
      <c r="I195" s="12">
        <v>0</v>
      </c>
      <c r="J195" s="12">
        <v>0</v>
      </c>
      <c r="K195" s="12">
        <v>0</v>
      </c>
      <c r="L195" s="12">
        <v>0</v>
      </c>
      <c r="M195" s="12">
        <v>0</v>
      </c>
      <c r="N195" s="12">
        <v>0</v>
      </c>
      <c r="O195" s="12">
        <v>0</v>
      </c>
      <c r="P195" s="12">
        <v>0</v>
      </c>
      <c r="Q195" s="12">
        <v>0</v>
      </c>
      <c r="R195" s="7">
        <v>0</v>
      </c>
      <c r="S195" s="7">
        <f t="shared" si="2"/>
        <v>0</v>
      </c>
    </row>
    <row r="196" spans="1:19" customFormat="1" x14ac:dyDescent="0.35">
      <c r="A196" s="3" t="s">
        <v>22</v>
      </c>
      <c r="B196" s="6">
        <v>9.3741051152000014E-4</v>
      </c>
      <c r="C196" s="8" t="s">
        <v>220</v>
      </c>
      <c r="D196" s="33" t="s">
        <v>336</v>
      </c>
      <c r="E196" s="13">
        <v>3063.99</v>
      </c>
      <c r="F196" s="13">
        <v>8743.91</v>
      </c>
      <c r="G196" s="13">
        <v>6759.49</v>
      </c>
      <c r="H196" s="13">
        <v>11019.86</v>
      </c>
      <c r="I196" s="13">
        <v>12344.09</v>
      </c>
      <c r="J196" s="12">
        <v>0</v>
      </c>
      <c r="K196" s="7">
        <f>$B196*'Janssen Payments'!I$22</f>
        <v>2416.3411270340498</v>
      </c>
      <c r="L196" s="7">
        <f>$B196*'Janssen Payments'!J$22</f>
        <v>2416.3411213078011</v>
      </c>
      <c r="M196" s="7">
        <f>$B196*'Janssen Payments'!K$22</f>
        <v>2416.3410817329896</v>
      </c>
      <c r="N196" s="7">
        <f>$B196*'Janssen Payments'!L$22</f>
        <v>3076.4249066396715</v>
      </c>
      <c r="O196" s="7">
        <f>$B196*'Janssen Payments'!M$22</f>
        <v>3076.4249123659201</v>
      </c>
      <c r="P196" s="7">
        <f>$B196*'Janssen Payments'!N$22</f>
        <v>3076.4249066396715</v>
      </c>
      <c r="Q196" s="7">
        <f>$B196*'Janssen Payments'!$O$22</f>
        <v>2875.6688963878319</v>
      </c>
      <c r="R196" s="7">
        <v>0</v>
      </c>
      <c r="S196" s="7">
        <f t="shared" ref="S196:S259" si="3">SUM(E196:R196)</f>
        <v>61285.306952107931</v>
      </c>
    </row>
    <row r="197" spans="1:19" customFormat="1" x14ac:dyDescent="0.35">
      <c r="A197" s="3" t="s">
        <v>105</v>
      </c>
      <c r="B197" s="6">
        <v>3.9308351715480787E-4</v>
      </c>
      <c r="C197" s="8" t="s">
        <v>221</v>
      </c>
      <c r="D197" s="33" t="s">
        <v>336</v>
      </c>
      <c r="E197" s="13">
        <v>1324.34</v>
      </c>
      <c r="F197" s="13">
        <v>3779.35</v>
      </c>
      <c r="G197" s="13">
        <v>2921.63</v>
      </c>
      <c r="H197" s="13">
        <v>4763.08</v>
      </c>
      <c r="I197" s="13">
        <v>5335.45</v>
      </c>
      <c r="J197" s="12">
        <v>0</v>
      </c>
      <c r="K197" s="7">
        <f>$B197*'Janssen Payments'!I$22</f>
        <v>1013.2421785203031</v>
      </c>
      <c r="L197" s="7">
        <f>$B197*'Janssen Payments'!J$22</f>
        <v>1013.2421761191204</v>
      </c>
      <c r="M197" s="7">
        <f>$B197*'Janssen Payments'!K$22</f>
        <v>1013.2421595242499</v>
      </c>
      <c r="N197" s="7">
        <f>$B197*'Janssen Payments'!L$22</f>
        <v>1290.0345235127786</v>
      </c>
      <c r="O197" s="7">
        <f>$B197*'Janssen Payments'!M$22</f>
        <v>1290.0345259139613</v>
      </c>
      <c r="P197" s="7">
        <f>$B197*'Janssen Payments'!N$22</f>
        <v>1290.0345235127786</v>
      </c>
      <c r="Q197" s="7">
        <f>$B197*'Janssen Payments'!$O$22</f>
        <v>1205.8516840523998</v>
      </c>
      <c r="R197" s="7">
        <v>0</v>
      </c>
      <c r="S197" s="7">
        <f t="shared" si="3"/>
        <v>26239.531771155591</v>
      </c>
    </row>
    <row r="198" spans="1:19" customFormat="1" x14ac:dyDescent="0.35">
      <c r="A198" s="3" t="s">
        <v>34</v>
      </c>
      <c r="B198" s="6">
        <v>8.2098063557694125E-4</v>
      </c>
      <c r="C198" s="8" t="s">
        <v>222</v>
      </c>
      <c r="D198" s="33" t="s">
        <v>336</v>
      </c>
      <c r="E198" s="13">
        <v>2765.96</v>
      </c>
      <c r="F198" s="13">
        <v>7893.43</v>
      </c>
      <c r="G198" s="13">
        <v>6102.02</v>
      </c>
      <c r="H198" s="13">
        <v>9948.01</v>
      </c>
      <c r="I198" s="13">
        <v>11143.43</v>
      </c>
      <c r="J198" s="12">
        <v>0</v>
      </c>
      <c r="K198" s="7">
        <f>$B198*'Janssen Payments'!I$22</f>
        <v>2116.2225619024243</v>
      </c>
      <c r="L198" s="7">
        <f>$B198*'Janssen Payments'!J$22</f>
        <v>2116.2225568873969</v>
      </c>
      <c r="M198" s="7">
        <f>$B198*'Janssen Payments'!K$22</f>
        <v>2116.2225222279244</v>
      </c>
      <c r="N198" s="7">
        <f>$B198*'Janssen Payments'!L$22</f>
        <v>2694.3214782842583</v>
      </c>
      <c r="O198" s="7">
        <f>$B198*'Janssen Payments'!M$22</f>
        <v>2694.3214832992853</v>
      </c>
      <c r="P198" s="7">
        <f>$B198*'Janssen Payments'!N$22</f>
        <v>2694.3214782842583</v>
      </c>
      <c r="Q198" s="7">
        <f>$B198*'Janssen Payments'!$O$22</f>
        <v>2518.5001120130423</v>
      </c>
      <c r="R198" s="7">
        <v>0</v>
      </c>
      <c r="S198" s="7">
        <f t="shared" si="3"/>
        <v>54802.982192898584</v>
      </c>
    </row>
    <row r="199" spans="1:19" customFormat="1" x14ac:dyDescent="0.35">
      <c r="A199" s="3" t="s">
        <v>34</v>
      </c>
      <c r="B199" s="6">
        <v>5.8124223828232024E-4</v>
      </c>
      <c r="C199" s="8" t="s">
        <v>223</v>
      </c>
      <c r="D199" s="33" t="s">
        <v>336</v>
      </c>
      <c r="E199" s="13">
        <v>1958.26</v>
      </c>
      <c r="F199" s="13">
        <v>5588.43</v>
      </c>
      <c r="G199" s="13">
        <v>4320.1400000000003</v>
      </c>
      <c r="H199" s="13">
        <v>7043.05</v>
      </c>
      <c r="I199" s="13">
        <v>7889.39</v>
      </c>
      <c r="J199" s="12">
        <v>0</v>
      </c>
      <c r="K199" s="7">
        <f>$B199*'Janssen Payments'!I$22</f>
        <v>1498.2545084261412</v>
      </c>
      <c r="L199" s="7">
        <f>$B199*'Janssen Payments'!J$22</f>
        <v>1498.2545048755755</v>
      </c>
      <c r="M199" s="7">
        <f>$B199*'Janssen Payments'!K$22</f>
        <v>1498.2544803371779</v>
      </c>
      <c r="N199" s="7">
        <f>$B199*'Janssen Payments'!L$22</f>
        <v>1907.5400549362942</v>
      </c>
      <c r="O199" s="7">
        <f>$B199*'Janssen Payments'!M$22</f>
        <v>1907.5400584868598</v>
      </c>
      <c r="P199" s="7">
        <f>$B199*'Janssen Payments'!N$22</f>
        <v>1907.5400549362942</v>
      </c>
      <c r="Q199" s="7">
        <f>$B199*'Janssen Payments'!$O$22</f>
        <v>1783.0611086119143</v>
      </c>
      <c r="R199" s="7">
        <v>0</v>
      </c>
      <c r="S199" s="7">
        <f t="shared" si="3"/>
        <v>38799.714770610262</v>
      </c>
    </row>
    <row r="200" spans="1:19" customFormat="1" x14ac:dyDescent="0.35">
      <c r="A200" s="3" t="s">
        <v>34</v>
      </c>
      <c r="B200" s="6">
        <v>1.5366114375069327E-4</v>
      </c>
      <c r="C200" s="8" t="s">
        <v>224</v>
      </c>
      <c r="D200" s="33" t="s">
        <v>336</v>
      </c>
      <c r="E200" s="12">
        <v>517.70000000000005</v>
      </c>
      <c r="F200" s="13">
        <v>1477.4</v>
      </c>
      <c r="G200" s="13">
        <v>1142.0999999999999</v>
      </c>
      <c r="H200" s="13">
        <v>1861.95</v>
      </c>
      <c r="I200" s="13">
        <v>2085.69</v>
      </c>
      <c r="J200" s="12">
        <v>0</v>
      </c>
      <c r="K200" s="7">
        <f>$B200*'Janssen Payments'!I$22</f>
        <v>396.08873242720136</v>
      </c>
      <c r="L200" s="7">
        <f>$B200*'Janssen Payments'!J$22</f>
        <v>396.08873148854974</v>
      </c>
      <c r="M200" s="7">
        <f>$B200*'Janssen Payments'!K$22</f>
        <v>396.08872500141234</v>
      </c>
      <c r="N200" s="7">
        <f>$B200*'Janssen Payments'!L$22</f>
        <v>504.29023784985134</v>
      </c>
      <c r="O200" s="7">
        <f>$B200*'Janssen Payments'!M$22</f>
        <v>504.29023878850296</v>
      </c>
      <c r="P200" s="7">
        <f>$B200*'Janssen Payments'!N$22</f>
        <v>504.29023784985134</v>
      </c>
      <c r="Q200" s="7">
        <f>$B200*'Janssen Payments'!$O$22</f>
        <v>471.38213860088598</v>
      </c>
      <c r="R200" s="7">
        <v>0</v>
      </c>
      <c r="S200" s="7">
        <f t="shared" si="3"/>
        <v>10257.359042006254</v>
      </c>
    </row>
    <row r="201" spans="1:19" customFormat="1" x14ac:dyDescent="0.35">
      <c r="A201" s="3" t="s">
        <v>34</v>
      </c>
      <c r="B201" s="6">
        <v>6.0626288796559999E-2</v>
      </c>
      <c r="C201" s="8" t="s">
        <v>34</v>
      </c>
      <c r="D201" s="33" t="s">
        <v>336</v>
      </c>
      <c r="E201" s="13">
        <v>198160.83</v>
      </c>
      <c r="F201" s="13">
        <v>565505.56999999995</v>
      </c>
      <c r="G201" s="13">
        <v>437164.82</v>
      </c>
      <c r="H201" s="13">
        <v>712701.11</v>
      </c>
      <c r="I201" s="13">
        <v>798344.36</v>
      </c>
      <c r="J201" s="12">
        <v>0</v>
      </c>
      <c r="K201" s="7">
        <f>$B201*'Janssen Payments'!I$22</f>
        <v>156274.96512817379</v>
      </c>
      <c r="L201" s="7">
        <f>$B201*'Janssen Payments'!J$22</f>
        <v>156274.96475783316</v>
      </c>
      <c r="M201" s="7">
        <f>$B201*'Janssen Payments'!K$22</f>
        <v>156274.9621983633</v>
      </c>
      <c r="N201" s="7">
        <f>$B201*'Janssen Payments'!L$22</f>
        <v>198965.36528957784</v>
      </c>
      <c r="O201" s="7">
        <f>$B201*'Janssen Payments'!M$22</f>
        <v>198965.36565991849</v>
      </c>
      <c r="P201" s="7">
        <f>$B201*'Janssen Payments'!N$22</f>
        <v>198965.36528957784</v>
      </c>
      <c r="Q201" s="7">
        <f>$B201*'Janssen Payments'!$O$22</f>
        <v>185981.62795614652</v>
      </c>
      <c r="R201" s="7">
        <v>0</v>
      </c>
      <c r="S201" s="7">
        <f t="shared" si="3"/>
        <v>3963579.3062795904</v>
      </c>
    </row>
    <row r="202" spans="1:19" customFormat="1" x14ac:dyDescent="0.35">
      <c r="A202" s="3" t="s">
        <v>225</v>
      </c>
      <c r="B202" s="6">
        <v>2.4376421473599999E-3</v>
      </c>
      <c r="C202" s="8" t="s">
        <v>225</v>
      </c>
      <c r="D202" s="33" t="s">
        <v>336</v>
      </c>
      <c r="E202" s="13">
        <v>7967.59</v>
      </c>
      <c r="F202" s="13">
        <v>22737.66</v>
      </c>
      <c r="G202" s="13">
        <v>17577.38</v>
      </c>
      <c r="H202" s="13">
        <v>28656.05</v>
      </c>
      <c r="I202" s="13">
        <v>32099.57</v>
      </c>
      <c r="J202" s="12">
        <v>0</v>
      </c>
      <c r="K202" s="7">
        <f>$B202*'Janssen Payments'!I$22</f>
        <v>6283.4530883451625</v>
      </c>
      <c r="L202" s="7">
        <f>$B202*'Janssen Payments'!J$22</f>
        <v>6283.4530734546261</v>
      </c>
      <c r="M202" s="7">
        <f>$B202*'Janssen Payments'!K$22</f>
        <v>6283.4529705442928</v>
      </c>
      <c r="N202" s="7">
        <f>$B202*'Janssen Payments'!L$22</f>
        <v>7999.934845463823</v>
      </c>
      <c r="O202" s="7">
        <f>$B202*'Janssen Payments'!M$22</f>
        <v>7999.9348603543594</v>
      </c>
      <c r="P202" s="7">
        <f>$B202*'Janssen Payments'!N$22</f>
        <v>7999.934845463823</v>
      </c>
      <c r="Q202" s="7">
        <f>$B202*'Janssen Payments'!$O$22</f>
        <v>7477.8889478429292</v>
      </c>
      <c r="R202" s="7">
        <v>0</v>
      </c>
      <c r="S202" s="7">
        <f t="shared" si="3"/>
        <v>159366.30263146901</v>
      </c>
    </row>
    <row r="203" spans="1:19" customFormat="1" x14ac:dyDescent="0.35">
      <c r="A203" s="3" t="s">
        <v>60</v>
      </c>
      <c r="B203" s="6">
        <v>2.0250384432724366E-6</v>
      </c>
      <c r="C203" s="8" t="s">
        <v>226</v>
      </c>
      <c r="D203" s="33" t="s">
        <v>338</v>
      </c>
      <c r="E203" s="12">
        <f>6.82+50.02</f>
        <v>56.84</v>
      </c>
      <c r="F203" s="12">
        <v>19.47</v>
      </c>
      <c r="G203" s="12">
        <v>15.05</v>
      </c>
      <c r="H203" s="12">
        <v>24.54</v>
      </c>
      <c r="I203" s="12">
        <v>27.49</v>
      </c>
      <c r="J203" s="12">
        <v>0</v>
      </c>
      <c r="K203" s="51">
        <f>$B203*'Janssen Payments'!I$22</f>
        <v>5.2198941810135633</v>
      </c>
      <c r="L203" s="51">
        <f>$B203*'Janssen Payments'!J$22</f>
        <v>5.2198941686434512</v>
      </c>
      <c r="M203" s="51">
        <f>$B203*'Janssen Payments'!K$22</f>
        <v>5.2198940831520755</v>
      </c>
      <c r="N203" s="51">
        <f>$B203*'Janssen Payments'!L$22</f>
        <v>6.6458383250732664</v>
      </c>
      <c r="O203" s="51">
        <f>$B203*'Janssen Payments'!M$22</f>
        <v>6.6458383374433785</v>
      </c>
      <c r="P203" s="51">
        <f>$B203*'Janssen Payments'!N$22</f>
        <v>6.6458383250732664</v>
      </c>
      <c r="Q203" s="51">
        <f>$B203*'Janssen Payments'!$O$22</f>
        <v>6.2121557137925665</v>
      </c>
      <c r="R203" s="7">
        <v>0</v>
      </c>
      <c r="S203" s="7">
        <f>E203+F203+G203+H203+I203</f>
        <v>143.39000000000001</v>
      </c>
    </row>
    <row r="204" spans="1:19" customFormat="1" x14ac:dyDescent="0.35">
      <c r="A204" s="3" t="s">
        <v>227</v>
      </c>
      <c r="B204" s="6">
        <v>6.2312530156800007E-3</v>
      </c>
      <c r="C204" s="8" t="s">
        <v>227</v>
      </c>
      <c r="D204" s="33" t="s">
        <v>336</v>
      </c>
      <c r="E204" s="13">
        <v>20367.240000000002</v>
      </c>
      <c r="F204" s="13">
        <v>58123.44</v>
      </c>
      <c r="G204" s="13">
        <v>44932.4</v>
      </c>
      <c r="H204" s="13">
        <v>73252.399999999994</v>
      </c>
      <c r="I204" s="13">
        <v>82054.929999999993</v>
      </c>
      <c r="J204" s="12">
        <v>0</v>
      </c>
      <c r="K204" s="7">
        <f>$B204*'Janssen Payments'!I$22</f>
        <v>16062.155000084282</v>
      </c>
      <c r="L204" s="7">
        <f>$B204*'Janssen Payments'!J$22</f>
        <v>16062.154962020164</v>
      </c>
      <c r="M204" s="7">
        <f>$B204*'Janssen Payments'!K$22</f>
        <v>16062.154698954346</v>
      </c>
      <c r="N204" s="7">
        <f>$B204*'Janssen Payments'!L$22</f>
        <v>20449.932811109207</v>
      </c>
      <c r="O204" s="7">
        <f>$B204*'Janssen Payments'!M$22</f>
        <v>20449.932849173325</v>
      </c>
      <c r="P204" s="7">
        <f>$B204*'Janssen Payments'!N$22</f>
        <v>20449.932811109207</v>
      </c>
      <c r="Q204" s="7">
        <f>$B204*'Janssen Payments'!$O$22</f>
        <v>19115.446501296829</v>
      </c>
      <c r="R204" s="7">
        <v>0</v>
      </c>
      <c r="S204" s="7">
        <f t="shared" si="3"/>
        <v>407382.11963374744</v>
      </c>
    </row>
    <row r="205" spans="1:19" customFormat="1" x14ac:dyDescent="0.35">
      <c r="A205" s="3" t="s">
        <v>228</v>
      </c>
      <c r="B205" s="6">
        <v>5.6487088447999996E-4</v>
      </c>
      <c r="C205" s="8" t="s">
        <v>228</v>
      </c>
      <c r="D205" s="33" t="s">
        <v>336</v>
      </c>
      <c r="E205" s="13">
        <v>1846.32</v>
      </c>
      <c r="F205" s="13">
        <v>5268.96</v>
      </c>
      <c r="G205" s="13">
        <v>4073.18</v>
      </c>
      <c r="H205" s="13">
        <v>6640.42</v>
      </c>
      <c r="I205" s="13">
        <v>7438.38</v>
      </c>
      <c r="J205" s="12">
        <v>0</v>
      </c>
      <c r="K205" s="7">
        <f>$B205*'Janssen Payments'!I$22</f>
        <v>1456.0544530484522</v>
      </c>
      <c r="L205" s="7">
        <f>$B205*'Janssen Payments'!J$22</f>
        <v>1456.0544495978922</v>
      </c>
      <c r="M205" s="7">
        <f>$B205*'Janssen Payments'!K$22</f>
        <v>1456.0544257506467</v>
      </c>
      <c r="N205" s="7">
        <f>$B205*'Janssen Payments'!L$22</f>
        <v>1853.8120030594259</v>
      </c>
      <c r="O205" s="7">
        <f>$B205*'Janssen Payments'!M$22</f>
        <v>1853.8120065099858</v>
      </c>
      <c r="P205" s="7">
        <f>$B205*'Janssen Payments'!N$22</f>
        <v>1853.8120030594259</v>
      </c>
      <c r="Q205" s="7">
        <f>$B205*'Janssen Payments'!$O$22</f>
        <v>1732.8391489234575</v>
      </c>
      <c r="R205" s="7">
        <v>0</v>
      </c>
      <c r="S205" s="7">
        <f t="shared" si="3"/>
        <v>36929.698489949289</v>
      </c>
    </row>
    <row r="206" spans="1:19" customFormat="1" x14ac:dyDescent="0.35">
      <c r="A206" s="3" t="s">
        <v>34</v>
      </c>
      <c r="B206" s="6">
        <v>2.7142646306708003E-4</v>
      </c>
      <c r="C206" s="8" t="s">
        <v>229</v>
      </c>
      <c r="D206" s="33" t="s">
        <v>336</v>
      </c>
      <c r="E206" s="12">
        <v>914.46</v>
      </c>
      <c r="F206" s="13">
        <v>2609.67</v>
      </c>
      <c r="G206" s="13">
        <v>2017.41</v>
      </c>
      <c r="H206" s="13">
        <v>3288.94</v>
      </c>
      <c r="I206" s="13">
        <v>3684.16</v>
      </c>
      <c r="J206" s="12">
        <v>0</v>
      </c>
      <c r="K206" s="7">
        <f>$B206*'Janssen Payments'!I$22</f>
        <v>699.64963867420954</v>
      </c>
      <c r="L206" s="7">
        <f>$B206*'Janssen Payments'!J$22</f>
        <v>699.64963701617887</v>
      </c>
      <c r="M206" s="7">
        <f>$B206*'Janssen Payments'!K$22</f>
        <v>699.64962555732393</v>
      </c>
      <c r="N206" s="7">
        <f>$B206*'Janssen Payments'!L$22</f>
        <v>890.77636855884805</v>
      </c>
      <c r="O206" s="7">
        <f>$B206*'Janssen Payments'!M$22</f>
        <v>890.77637021687872</v>
      </c>
      <c r="P206" s="7">
        <f>$B206*'Janssen Payments'!N$22</f>
        <v>890.77636855884805</v>
      </c>
      <c r="Q206" s="7">
        <f>$B206*'Janssen Payments'!$O$22</f>
        <v>832.64762652697175</v>
      </c>
      <c r="R206" s="7">
        <v>0</v>
      </c>
      <c r="S206" s="7">
        <f t="shared" si="3"/>
        <v>18118.565635109255</v>
      </c>
    </row>
    <row r="207" spans="1:19" customFormat="1" x14ac:dyDescent="0.35">
      <c r="A207" s="3" t="s">
        <v>230</v>
      </c>
      <c r="B207" s="6">
        <v>2.1551218640000003E-3</v>
      </c>
      <c r="C207" s="8" t="s">
        <v>230</v>
      </c>
      <c r="D207" s="33" t="s">
        <v>336</v>
      </c>
      <c r="E207" s="13">
        <v>7044.15</v>
      </c>
      <c r="F207" s="13">
        <v>20102.39</v>
      </c>
      <c r="G207" s="13">
        <v>15540.18</v>
      </c>
      <c r="H207" s="13">
        <v>25334.85</v>
      </c>
      <c r="I207" s="13">
        <v>28379.26</v>
      </c>
      <c r="J207" s="12">
        <v>0</v>
      </c>
      <c r="K207" s="7">
        <f>$B207*'Janssen Payments'!I$22</f>
        <v>5555.2071688523811</v>
      </c>
      <c r="L207" s="7">
        <f>$B207*'Janssen Payments'!J$22</f>
        <v>5555.2071556876435</v>
      </c>
      <c r="M207" s="7">
        <f>$B207*'Janssen Payments'!K$22</f>
        <v>5555.2070647045148</v>
      </c>
      <c r="N207" s="7">
        <f>$B207*'Janssen Payments'!L$22</f>
        <v>7072.7504095326749</v>
      </c>
      <c r="O207" s="7">
        <f>$B207*'Janssen Payments'!M$22</f>
        <v>7072.7504226974124</v>
      </c>
      <c r="P207" s="7">
        <f>$B207*'Janssen Payments'!N$22</f>
        <v>7072.7504095326749</v>
      </c>
      <c r="Q207" s="7">
        <f>$B207*'Janssen Payments'!$O$22</f>
        <v>6611.2091085698721</v>
      </c>
      <c r="R207" s="7">
        <v>0</v>
      </c>
      <c r="S207" s="7">
        <f t="shared" si="3"/>
        <v>140895.91173957719</v>
      </c>
    </row>
    <row r="208" spans="1:19" customFormat="1" x14ac:dyDescent="0.35">
      <c r="A208" s="3" t="s">
        <v>231</v>
      </c>
      <c r="B208" s="6">
        <v>5.4983679070649914E-4</v>
      </c>
      <c r="C208" s="8" t="s">
        <v>231</v>
      </c>
      <c r="D208" s="33" t="s">
        <v>336</v>
      </c>
      <c r="E208" s="13">
        <v>1852.45</v>
      </c>
      <c r="F208" s="13">
        <v>5286.48</v>
      </c>
      <c r="G208" s="13">
        <v>4086.72</v>
      </c>
      <c r="H208" s="13">
        <v>6662.5</v>
      </c>
      <c r="I208" s="13">
        <v>7463.11</v>
      </c>
      <c r="J208" s="12">
        <v>0</v>
      </c>
      <c r="K208" s="7">
        <f>$B208*'Janssen Payments'!I$22</f>
        <v>1417.3014215364715</v>
      </c>
      <c r="L208" s="7">
        <f>$B208*'Janssen Payments'!J$22</f>
        <v>1417.3014181777485</v>
      </c>
      <c r="M208" s="7">
        <f>$B208*'Janssen Payments'!K$22</f>
        <v>1417.3013949651997</v>
      </c>
      <c r="N208" s="7">
        <f>$B208*'Janssen Payments'!L$22</f>
        <v>1804.4726154963844</v>
      </c>
      <c r="O208" s="7">
        <f>$B208*'Janssen Payments'!M$22</f>
        <v>1804.4726188551072</v>
      </c>
      <c r="P208" s="7">
        <f>$B208*'Janssen Payments'!N$22</f>
        <v>1804.4726154963844</v>
      </c>
      <c r="Q208" s="7">
        <f>$B208*'Janssen Payments'!$O$22</f>
        <v>1686.7194656912604</v>
      </c>
      <c r="R208" s="7">
        <v>0</v>
      </c>
      <c r="S208" s="7">
        <f t="shared" si="3"/>
        <v>36703.301550218559</v>
      </c>
    </row>
    <row r="209" spans="1:19" customFormat="1" x14ac:dyDescent="0.35">
      <c r="A209" s="3" t="s">
        <v>83</v>
      </c>
      <c r="B209" s="6">
        <v>6.9668831392582191E-5</v>
      </c>
      <c r="C209" s="8" t="s">
        <v>232</v>
      </c>
      <c r="D209" s="33" t="s">
        <v>336</v>
      </c>
      <c r="E209" s="12">
        <v>234.72</v>
      </c>
      <c r="F209" s="12">
        <v>669.84</v>
      </c>
      <c r="G209" s="12">
        <v>517.82000000000005</v>
      </c>
      <c r="H209" s="12">
        <v>844.19</v>
      </c>
      <c r="I209" s="12">
        <v>945.64</v>
      </c>
      <c r="J209" s="12">
        <v>0</v>
      </c>
      <c r="K209" s="7">
        <f>$B209*'Janssen Payments'!I$22</f>
        <v>179.58371545602785</v>
      </c>
      <c r="L209" s="7">
        <f>$B209*'Janssen Payments'!J$22</f>
        <v>179.58371503045012</v>
      </c>
      <c r="M209" s="7">
        <f>$B209*'Janssen Payments'!K$22</f>
        <v>179.58371208922978</v>
      </c>
      <c r="N209" s="7">
        <f>$B209*'Janssen Payments'!L$22</f>
        <v>228.64148148401344</v>
      </c>
      <c r="O209" s="7">
        <f>$B209*'Janssen Payments'!M$22</f>
        <v>228.64148190959116</v>
      </c>
      <c r="P209" s="7">
        <f>$B209*'Janssen Payments'!N$22</f>
        <v>228.64148148401344</v>
      </c>
      <c r="Q209" s="7">
        <f>$B209*'Janssen Payments'!$O$22</f>
        <v>213.72119153910546</v>
      </c>
      <c r="R209" s="7">
        <v>0</v>
      </c>
      <c r="S209" s="7">
        <f t="shared" si="3"/>
        <v>4650.6067789924309</v>
      </c>
    </row>
    <row r="210" spans="1:19" customFormat="1" x14ac:dyDescent="0.35">
      <c r="A210" s="3" t="s">
        <v>233</v>
      </c>
      <c r="B210" s="6">
        <v>3.1792059880000004E-3</v>
      </c>
      <c r="C210" s="8" t="s">
        <v>233</v>
      </c>
      <c r="D210" s="33" t="s">
        <v>336</v>
      </c>
      <c r="E210" s="13">
        <v>10391.43</v>
      </c>
      <c r="F210" s="13">
        <v>29654.77</v>
      </c>
      <c r="G210" s="13">
        <v>22924.66</v>
      </c>
      <c r="H210" s="13">
        <v>37373.620000000003</v>
      </c>
      <c r="I210" s="13">
        <v>41864.699999999997</v>
      </c>
      <c r="J210" s="12">
        <v>0</v>
      </c>
      <c r="K210" s="7">
        <f>$B210*'Janssen Payments'!I$22</f>
        <v>8194.9648374018907</v>
      </c>
      <c r="L210" s="7">
        <f>$B210*'Janssen Payments'!J$22</f>
        <v>8194.9648179814503</v>
      </c>
      <c r="M210" s="7">
        <f>$B210*'Janssen Payments'!K$22</f>
        <v>8194.9646837643959</v>
      </c>
      <c r="N210" s="7">
        <f>$B210*'Janssen Payments'!L$22</f>
        <v>10433.623652205559</v>
      </c>
      <c r="O210" s="7">
        <f>$B210*'Janssen Payments'!M$22</f>
        <v>10433.623671625999</v>
      </c>
      <c r="P210" s="7">
        <f>$B210*'Janssen Payments'!N$22</f>
        <v>10433.623652205559</v>
      </c>
      <c r="Q210" s="7">
        <f>$B210*'Janssen Payments'!$O$22</f>
        <v>9752.7643039518989</v>
      </c>
      <c r="R210" s="7">
        <v>0</v>
      </c>
      <c r="S210" s="7">
        <f t="shared" si="3"/>
        <v>207847.70961913676</v>
      </c>
    </row>
    <row r="211" spans="1:19" customFormat="1" x14ac:dyDescent="0.35">
      <c r="A211" s="3" t="s">
        <v>24</v>
      </c>
      <c r="B211" s="6">
        <v>8.3058265152320399E-3</v>
      </c>
      <c r="C211" s="8" t="s">
        <v>24</v>
      </c>
      <c r="D211" s="33" t="s">
        <v>336</v>
      </c>
      <c r="E211" s="13">
        <v>27983.15</v>
      </c>
      <c r="F211" s="13">
        <v>79857.48</v>
      </c>
      <c r="G211" s="13">
        <v>61733.93</v>
      </c>
      <c r="H211" s="13">
        <v>100643.6</v>
      </c>
      <c r="I211" s="13">
        <v>112737.65</v>
      </c>
      <c r="J211" s="12">
        <v>0</v>
      </c>
      <c r="K211" s="7">
        <f>$B211*'Janssen Payments'!I$22</f>
        <v>21409.734535856955</v>
      </c>
      <c r="L211" s="7">
        <f>$B211*'Janssen Payments'!J$22</f>
        <v>21409.734485120134</v>
      </c>
      <c r="M211" s="7">
        <f>$B211*'Janssen Payments'!K$22</f>
        <v>21409.734134471713</v>
      </c>
      <c r="N211" s="7">
        <f>$B211*'Janssen Payments'!L$22</f>
        <v>27258.336926748729</v>
      </c>
      <c r="O211" s="7">
        <f>$B211*'Janssen Payments'!M$22</f>
        <v>27258.336977485549</v>
      </c>
      <c r="P211" s="7">
        <f>$B211*'Janssen Payments'!N$22</f>
        <v>27258.336926748729</v>
      </c>
      <c r="Q211" s="7">
        <f>$B211*'Janssen Payments'!$O$22</f>
        <v>25479.55956874985</v>
      </c>
      <c r="R211" s="7">
        <v>0</v>
      </c>
      <c r="S211" s="7">
        <f t="shared" si="3"/>
        <v>554439.58355518174</v>
      </c>
    </row>
    <row r="212" spans="1:19" customFormat="1" x14ac:dyDescent="0.35">
      <c r="A212" s="3" t="s">
        <v>234</v>
      </c>
      <c r="B212" s="6">
        <v>3.3627034874504663E-4</v>
      </c>
      <c r="C212" s="8" t="s">
        <v>235</v>
      </c>
      <c r="D212" s="33" t="s">
        <v>336</v>
      </c>
      <c r="E212" s="13">
        <v>1132.93</v>
      </c>
      <c r="F212" s="13">
        <v>3233.12</v>
      </c>
      <c r="G212" s="13">
        <v>2499.36</v>
      </c>
      <c r="H212" s="13">
        <v>4074.66</v>
      </c>
      <c r="I212" s="13">
        <v>4564.3100000000004</v>
      </c>
      <c r="J212" s="12">
        <v>0</v>
      </c>
      <c r="K212" s="7">
        <f>$B212*'Janssen Payments'!I$22</f>
        <v>866.79620453285565</v>
      </c>
      <c r="L212" s="7">
        <f>$B212*'Janssen Payments'!J$22</f>
        <v>866.79620247872083</v>
      </c>
      <c r="M212" s="7">
        <f>$B212*'Janssen Payments'!K$22</f>
        <v>866.79618828234106</v>
      </c>
      <c r="N212" s="7">
        <f>$B212*'Janssen Payments'!L$22</f>
        <v>1103.5831831736377</v>
      </c>
      <c r="O212" s="7">
        <f>$B212*'Janssen Payments'!M$22</f>
        <v>1103.5831852277727</v>
      </c>
      <c r="P212" s="7">
        <f>$B212*'Janssen Payments'!N$22</f>
        <v>1103.5831831736377</v>
      </c>
      <c r="Q212" s="7">
        <f>$B212*'Janssen Payments'!$O$22</f>
        <v>1031.5674624723772</v>
      </c>
      <c r="R212" s="7">
        <v>0</v>
      </c>
      <c r="S212" s="7">
        <f t="shared" si="3"/>
        <v>22447.085609341346</v>
      </c>
    </row>
    <row r="213" spans="1:19" customFormat="1" x14ac:dyDescent="0.35">
      <c r="A213" s="3" t="s">
        <v>34</v>
      </c>
      <c r="B213" s="6">
        <v>1.2358345544842957E-4</v>
      </c>
      <c r="C213" s="8" t="s">
        <v>236</v>
      </c>
      <c r="D213" s="33" t="s">
        <v>336</v>
      </c>
      <c r="E213" s="12">
        <v>416.36</v>
      </c>
      <c r="F213" s="13">
        <v>1188.21</v>
      </c>
      <c r="G213" s="12">
        <v>918.55</v>
      </c>
      <c r="H213" s="13">
        <v>1497.49</v>
      </c>
      <c r="I213" s="13">
        <v>1677.44</v>
      </c>
      <c r="J213" s="12">
        <v>0</v>
      </c>
      <c r="K213" s="7">
        <f>$B213*'Janssen Payments'!I$22</f>
        <v>318.55817952885133</v>
      </c>
      <c r="L213" s="7">
        <f>$B213*'Janssen Payments'!J$22</f>
        <v>318.55817877393173</v>
      </c>
      <c r="M213" s="7">
        <f>$B213*'Janssen Payments'!K$22</f>
        <v>318.55817355658894</v>
      </c>
      <c r="N213" s="7">
        <f>$B213*'Janssen Payments'!L$22</f>
        <v>405.58028283004938</v>
      </c>
      <c r="O213" s="7">
        <f>$B213*'Janssen Payments'!M$22</f>
        <v>405.58028358496898</v>
      </c>
      <c r="P213" s="7">
        <f>$B213*'Janssen Payments'!N$22</f>
        <v>405.58028283004938</v>
      </c>
      <c r="Q213" s="7">
        <f>$B213*'Janssen Payments'!$O$22</f>
        <v>379.11362692629456</v>
      </c>
      <c r="R213" s="7">
        <v>0</v>
      </c>
      <c r="S213" s="7">
        <f t="shared" si="3"/>
        <v>8249.5790080307343</v>
      </c>
    </row>
    <row r="214" spans="1:19" customFormat="1" x14ac:dyDescent="0.35">
      <c r="A214" s="3" t="s">
        <v>24</v>
      </c>
      <c r="B214" s="6">
        <v>3.8875457295908791E-5</v>
      </c>
      <c r="C214" s="8" t="s">
        <v>237</v>
      </c>
      <c r="D214" s="33" t="s">
        <v>336</v>
      </c>
      <c r="E214" s="12">
        <v>130.97999999999999</v>
      </c>
      <c r="F214" s="12">
        <v>373.77</v>
      </c>
      <c r="G214" s="12">
        <v>288.95</v>
      </c>
      <c r="H214" s="12">
        <v>471.06</v>
      </c>
      <c r="I214" s="12">
        <v>527.66999999999996</v>
      </c>
      <c r="J214" s="12">
        <v>0</v>
      </c>
      <c r="K214" s="7">
        <f>$B214*'Janssen Payments'!I$22</f>
        <v>100.2083560424809</v>
      </c>
      <c r="L214" s="7">
        <f>$B214*'Janssen Payments'!J$22</f>
        <v>100.208355805007</v>
      </c>
      <c r="M214" s="7">
        <f>$B214*'Janssen Payments'!K$22</f>
        <v>100.20835416379552</v>
      </c>
      <c r="N214" s="7">
        <f>$B214*'Janssen Payments'!L$22</f>
        <v>127.58276508785347</v>
      </c>
      <c r="O214" s="7">
        <f>$B214*'Janssen Payments'!M$22</f>
        <v>127.58276532532737</v>
      </c>
      <c r="P214" s="7">
        <f>$B214*'Janssen Payments'!N$22</f>
        <v>127.58276508785347</v>
      </c>
      <c r="Q214" s="7">
        <f>$B214*'Janssen Payments'!$O$22</f>
        <v>119.25718989157416</v>
      </c>
      <c r="R214" s="7">
        <v>0</v>
      </c>
      <c r="S214" s="7">
        <f t="shared" si="3"/>
        <v>2595.0605514038916</v>
      </c>
    </row>
    <row r="215" spans="1:19" customFormat="1" x14ac:dyDescent="0.35">
      <c r="A215" s="3" t="s">
        <v>28</v>
      </c>
      <c r="B215" s="6">
        <v>2.7464821740000002E-4</v>
      </c>
      <c r="C215" s="8" t="s">
        <v>238</v>
      </c>
      <c r="D215" s="33" t="s">
        <v>336</v>
      </c>
      <c r="E215" s="12">
        <v>897.7</v>
      </c>
      <c r="F215" s="13">
        <v>2561.84</v>
      </c>
      <c r="G215" s="13">
        <v>1980.44</v>
      </c>
      <c r="H215" s="13">
        <v>3228.67</v>
      </c>
      <c r="I215" s="13">
        <v>3616.65</v>
      </c>
      <c r="J215" s="12">
        <v>0</v>
      </c>
      <c r="K215" s="7">
        <f>$B215*'Janssen Payments'!I$22</f>
        <v>707.95427938408557</v>
      </c>
      <c r="L215" s="7">
        <f>$B215*'Janssen Payments'!J$22</f>
        <v>707.95427770637457</v>
      </c>
      <c r="M215" s="7">
        <f>$B215*'Janssen Payments'!K$22</f>
        <v>707.95426611150629</v>
      </c>
      <c r="N215" s="7">
        <f>$B215*'Janssen Payments'!L$22</f>
        <v>901.34962878056024</v>
      </c>
      <c r="O215" s="7">
        <f>$B215*'Janssen Payments'!M$22</f>
        <v>901.34963045827135</v>
      </c>
      <c r="P215" s="7">
        <f>$B215*'Janssen Payments'!N$22</f>
        <v>901.34962878056024</v>
      </c>
      <c r="Q215" s="7">
        <f>$B215*'Janssen Payments'!$O$22</f>
        <v>842.53091523893443</v>
      </c>
      <c r="R215" s="7">
        <v>0</v>
      </c>
      <c r="S215" s="7">
        <f t="shared" si="3"/>
        <v>17955.742626460291</v>
      </c>
    </row>
    <row r="216" spans="1:19" customFormat="1" x14ac:dyDescent="0.35">
      <c r="A216" s="3" t="s">
        <v>14</v>
      </c>
      <c r="B216" s="6">
        <v>8.2472855123022826E-5</v>
      </c>
      <c r="C216" s="8" t="s">
        <v>239</v>
      </c>
      <c r="D216" s="33" t="s">
        <v>336</v>
      </c>
      <c r="E216" s="12">
        <v>277.86</v>
      </c>
      <c r="F216" s="12">
        <v>792.95</v>
      </c>
      <c r="G216" s="12">
        <v>612.99</v>
      </c>
      <c r="H216" s="12">
        <v>999.34</v>
      </c>
      <c r="I216" s="13">
        <v>1119.43</v>
      </c>
      <c r="J216" s="12">
        <v>0</v>
      </c>
      <c r="K216" s="7">
        <f>$B216*'Janssen Payments'!I$22</f>
        <v>212.58834763282798</v>
      </c>
      <c r="L216" s="7">
        <f>$B216*'Janssen Payments'!J$22</f>
        <v>212.58834712903581</v>
      </c>
      <c r="M216" s="7">
        <f>$B216*'Janssen Payments'!K$22</f>
        <v>212.58834364726593</v>
      </c>
      <c r="N216" s="7">
        <f>$B216*'Janssen Payments'!L$22</f>
        <v>270.66215121776918</v>
      </c>
      <c r="O216" s="7">
        <f>$B216*'Janssen Payments'!M$22</f>
        <v>270.66215172156137</v>
      </c>
      <c r="P216" s="7">
        <f>$B216*'Janssen Payments'!N$22</f>
        <v>270.66215121776918</v>
      </c>
      <c r="Q216" s="7">
        <f>$B216*'Janssen Payments'!$O$22</f>
        <v>252.99974915900714</v>
      </c>
      <c r="R216" s="7">
        <v>0</v>
      </c>
      <c r="S216" s="7">
        <f t="shared" si="3"/>
        <v>5505.3212417252362</v>
      </c>
    </row>
    <row r="217" spans="1:19" customFormat="1" x14ac:dyDescent="0.35">
      <c r="A217" s="3" t="s">
        <v>22</v>
      </c>
      <c r="B217" s="6">
        <v>3.4671875633989825E-4</v>
      </c>
      <c r="C217" s="8" t="s">
        <v>240</v>
      </c>
      <c r="D217" s="33" t="s">
        <v>336</v>
      </c>
      <c r="E217" s="13">
        <v>1168.1300000000001</v>
      </c>
      <c r="F217" s="13">
        <v>3333.57</v>
      </c>
      <c r="G217" s="13">
        <v>2577.02</v>
      </c>
      <c r="H217" s="13">
        <v>4201.2700000000004</v>
      </c>
      <c r="I217" s="13">
        <v>4706.13</v>
      </c>
      <c r="J217" s="12">
        <v>0</v>
      </c>
      <c r="K217" s="7">
        <f>$B217*'Janssen Payments'!I$22</f>
        <v>893.72882015129733</v>
      </c>
      <c r="L217" s="7">
        <f>$B217*'Janssen Payments'!J$22</f>
        <v>893.72881803333746</v>
      </c>
      <c r="M217" s="7">
        <f>$B217*'Janssen Payments'!K$22</f>
        <v>893.72880339585561</v>
      </c>
      <c r="N217" s="7">
        <f>$B217*'Janssen Payments'!L$22</f>
        <v>1137.8731137478148</v>
      </c>
      <c r="O217" s="7">
        <f>$B217*'Janssen Payments'!M$22</f>
        <v>1137.8731158657747</v>
      </c>
      <c r="P217" s="7">
        <f>$B217*'Janssen Payments'!N$22</f>
        <v>1137.8731137478148</v>
      </c>
      <c r="Q217" s="7">
        <f>$B217*'Janssen Payments'!$O$22</f>
        <v>1063.619760124318</v>
      </c>
      <c r="R217" s="7">
        <v>0</v>
      </c>
      <c r="S217" s="7">
        <f t="shared" si="3"/>
        <v>23144.545545066212</v>
      </c>
    </row>
    <row r="218" spans="1:19" customFormat="1" x14ac:dyDescent="0.35">
      <c r="A218" s="3" t="s">
        <v>34</v>
      </c>
      <c r="B218" s="6">
        <v>3.2484999272399998E-3</v>
      </c>
      <c r="C218" s="8" t="s">
        <v>241</v>
      </c>
      <c r="D218" s="33" t="s">
        <v>336</v>
      </c>
      <c r="E218" s="13">
        <v>10617.93</v>
      </c>
      <c r="F218" s="13">
        <v>30301.13</v>
      </c>
      <c r="G218" s="13">
        <v>23424.32</v>
      </c>
      <c r="H218" s="13">
        <v>38188.21</v>
      </c>
      <c r="I218" s="13">
        <v>42777.18</v>
      </c>
      <c r="J218" s="12">
        <v>0</v>
      </c>
      <c r="K218" s="7">
        <f>$B218*'Janssen Payments'!I$22</f>
        <v>8373.5822021339227</v>
      </c>
      <c r="L218" s="7">
        <f>$B218*'Janssen Payments'!J$22</f>
        <v>8373.5821822901962</v>
      </c>
      <c r="M218" s="7">
        <f>$B218*'Janssen Payments'!K$22</f>
        <v>8373.5820451477484</v>
      </c>
      <c r="N218" s="7">
        <f>$B218*'Janssen Payments'!L$22</f>
        <v>10661.034800189644</v>
      </c>
      <c r="O218" s="7">
        <f>$B218*'Janssen Payments'!M$22</f>
        <v>10661.03482003337</v>
      </c>
      <c r="P218" s="7">
        <f>$B218*'Janssen Payments'!N$22</f>
        <v>10661.034800189644</v>
      </c>
      <c r="Q218" s="7">
        <f>$B218*'Janssen Payments'!$O$22</f>
        <v>9965.3354489645008</v>
      </c>
      <c r="R218" s="7">
        <v>0</v>
      </c>
      <c r="S218" s="7">
        <f t="shared" si="3"/>
        <v>212377.95629894902</v>
      </c>
    </row>
    <row r="219" spans="1:19" customFormat="1" x14ac:dyDescent="0.35">
      <c r="A219" s="3" t="s">
        <v>121</v>
      </c>
      <c r="B219" s="6">
        <v>8.084099336252E-5</v>
      </c>
      <c r="C219" s="8" t="s">
        <v>242</v>
      </c>
      <c r="D219" s="33" t="s">
        <v>336</v>
      </c>
      <c r="E219" s="12">
        <v>272.36</v>
      </c>
      <c r="F219" s="12">
        <v>777.26</v>
      </c>
      <c r="G219" s="12">
        <v>600.86</v>
      </c>
      <c r="H219" s="12">
        <v>979.57</v>
      </c>
      <c r="I219" s="13">
        <v>1097.28</v>
      </c>
      <c r="J219" s="12">
        <v>0</v>
      </c>
      <c r="K219" s="7">
        <f>$B219*'Janssen Payments'!I$22</f>
        <v>208.3819357811586</v>
      </c>
      <c r="L219" s="7">
        <f>$B219*'Janssen Payments'!J$22</f>
        <v>208.38193528733481</v>
      </c>
      <c r="M219" s="7">
        <f>$B219*'Janssen Payments'!K$22</f>
        <v>208.38193187445748</v>
      </c>
      <c r="N219" s="7">
        <f>$B219*'Janssen Payments'!L$22</f>
        <v>265.30665317021328</v>
      </c>
      <c r="O219" s="7">
        <f>$B219*'Janssen Payments'!M$22</f>
        <v>265.30665366403707</v>
      </c>
      <c r="P219" s="7">
        <f>$B219*'Janssen Payments'!N$22</f>
        <v>265.30665317021328</v>
      </c>
      <c r="Q219" s="7">
        <f>$B219*'Janssen Payments'!$O$22</f>
        <v>247.99373093090608</v>
      </c>
      <c r="R219" s="7">
        <v>0</v>
      </c>
      <c r="S219" s="7">
        <f t="shared" si="3"/>
        <v>5396.3894938783205</v>
      </c>
    </row>
    <row r="220" spans="1:19" customFormat="1" x14ac:dyDescent="0.35">
      <c r="A220" s="3" t="s">
        <v>121</v>
      </c>
      <c r="B220" s="6">
        <v>1.4594833953880172E-3</v>
      </c>
      <c r="C220" s="8" t="s">
        <v>243</v>
      </c>
      <c r="D220" s="33" t="s">
        <v>336</v>
      </c>
      <c r="E220" s="13">
        <v>4917.1400000000003</v>
      </c>
      <c r="F220" s="13">
        <v>14032.4</v>
      </c>
      <c r="G220" s="13">
        <v>10847.76</v>
      </c>
      <c r="H220" s="13">
        <v>17684.89</v>
      </c>
      <c r="I220" s="13">
        <v>19810.04</v>
      </c>
      <c r="J220" s="12">
        <v>0</v>
      </c>
      <c r="K220" s="7">
        <f>$B220*'Janssen Payments'!I$22</f>
        <v>3762.0761759765278</v>
      </c>
      <c r="L220" s="7">
        <f>$B220*'Janssen Payments'!J$22</f>
        <v>3762.0761670611546</v>
      </c>
      <c r="M220" s="7">
        <f>$B220*'Janssen Payments'!K$22</f>
        <v>3762.0761054459076</v>
      </c>
      <c r="N220" s="7">
        <f>$B220*'Janssen Payments'!L$22</f>
        <v>4789.7810118624157</v>
      </c>
      <c r="O220" s="7">
        <f>$B220*'Janssen Payments'!M$22</f>
        <v>4789.7810207777893</v>
      </c>
      <c r="P220" s="7">
        <f>$B220*'Janssen Payments'!N$22</f>
        <v>4789.7810118624157</v>
      </c>
      <c r="Q220" s="7">
        <f>$B220*'Janssen Payments'!$O$22</f>
        <v>4477.2177752801745</v>
      </c>
      <c r="R220" s="7">
        <v>0</v>
      </c>
      <c r="S220" s="7">
        <f t="shared" si="3"/>
        <v>97425.01926826642</v>
      </c>
    </row>
    <row r="221" spans="1:19" customFormat="1" x14ac:dyDescent="0.35">
      <c r="A221" s="3" t="s">
        <v>83</v>
      </c>
      <c r="B221" s="6">
        <v>5.5010293233043542E-4</v>
      </c>
      <c r="C221" s="8" t="s">
        <v>244</v>
      </c>
      <c r="D221" s="33" t="s">
        <v>336</v>
      </c>
      <c r="E221" s="13">
        <v>1853.35</v>
      </c>
      <c r="F221" s="13">
        <v>5289.04</v>
      </c>
      <c r="G221" s="13">
        <v>4088.7</v>
      </c>
      <c r="H221" s="13">
        <v>6665.72</v>
      </c>
      <c r="I221" s="13">
        <v>7466.72</v>
      </c>
      <c r="J221" s="12">
        <v>0</v>
      </c>
      <c r="K221" s="7">
        <f>$B221*'Janssen Payments'!I$22</f>
        <v>1417.9874485690573</v>
      </c>
      <c r="L221" s="7">
        <f>$B221*'Janssen Payments'!J$22</f>
        <v>1417.9874452087086</v>
      </c>
      <c r="M221" s="7">
        <f>$B221*'Janssen Payments'!K$22</f>
        <v>1417.9874219849241</v>
      </c>
      <c r="N221" s="7">
        <f>$B221*'Janssen Payments'!L$22</f>
        <v>1805.346047904608</v>
      </c>
      <c r="O221" s="7">
        <f>$B221*'Janssen Payments'!M$22</f>
        <v>1805.3460512649567</v>
      </c>
      <c r="P221" s="7">
        <f>$B221*'Janssen Payments'!N$22</f>
        <v>1805.346047904608</v>
      </c>
      <c r="Q221" s="7">
        <f>$B221*'Janssen Payments'!$O$22</f>
        <v>1687.5359011595876</v>
      </c>
      <c r="R221" s="7">
        <v>0</v>
      </c>
      <c r="S221" s="7">
        <f t="shared" si="3"/>
        <v>36721.066363996448</v>
      </c>
    </row>
    <row r="222" spans="1:19" customFormat="1" x14ac:dyDescent="0.35">
      <c r="A222" s="3" t="s">
        <v>245</v>
      </c>
      <c r="B222" s="6">
        <v>1.6298467953600002E-3</v>
      </c>
      <c r="C222" s="8" t="s">
        <v>245</v>
      </c>
      <c r="D222" s="33" t="s">
        <v>336</v>
      </c>
      <c r="E222" s="13">
        <v>5327.26</v>
      </c>
      <c r="F222" s="13">
        <v>15202.77</v>
      </c>
      <c r="G222" s="13">
        <v>11752.52</v>
      </c>
      <c r="H222" s="13">
        <v>19159.900000000001</v>
      </c>
      <c r="I222" s="13">
        <v>21462.29</v>
      </c>
      <c r="J222" s="12">
        <v>0</v>
      </c>
      <c r="K222" s="7">
        <f>$B222*'Janssen Payments'!I$22</f>
        <v>4201.2179231990531</v>
      </c>
      <c r="L222" s="7">
        <f>$B222*'Janssen Payments'!J$22</f>
        <v>4201.217913243001</v>
      </c>
      <c r="M222" s="7">
        <f>$B222*'Janssen Payments'!K$22</f>
        <v>4201.217844435495</v>
      </c>
      <c r="N222" s="7">
        <f>$B222*'Janssen Payments'!L$22</f>
        <v>5348.8852681223407</v>
      </c>
      <c r="O222" s="7">
        <f>$B222*'Janssen Payments'!M$22</f>
        <v>5348.8852780783927</v>
      </c>
      <c r="P222" s="7">
        <f>$B222*'Janssen Payments'!N$22</f>
        <v>5348.8852681223407</v>
      </c>
      <c r="Q222" s="7">
        <f>$B222*'Janssen Payments'!$O$22</f>
        <v>4999.8369739788641</v>
      </c>
      <c r="R222" s="7">
        <v>0</v>
      </c>
      <c r="S222" s="7">
        <f t="shared" si="3"/>
        <v>106554.88646917947</v>
      </c>
    </row>
    <row r="223" spans="1:19" customFormat="1" x14ac:dyDescent="0.35">
      <c r="A223" s="3" t="s">
        <v>22</v>
      </c>
      <c r="B223" s="6">
        <v>1.1872459833943937E-3</v>
      </c>
      <c r="C223" s="8" t="s">
        <v>246</v>
      </c>
      <c r="D223" s="33" t="s">
        <v>336</v>
      </c>
      <c r="E223" s="13">
        <v>3999.95</v>
      </c>
      <c r="F223" s="13">
        <v>11414.94</v>
      </c>
      <c r="G223" s="13">
        <v>8824.33</v>
      </c>
      <c r="H223" s="13">
        <v>14386.13</v>
      </c>
      <c r="I223" s="13">
        <v>16114.87</v>
      </c>
      <c r="J223" s="12">
        <v>0</v>
      </c>
      <c r="K223" s="7">
        <f>$B223*'Janssen Payments'!I$22</f>
        <v>3060.3361732419089</v>
      </c>
      <c r="L223" s="7">
        <f>$B223*'Janssen Payments'!J$22</f>
        <v>3060.3361659895204</v>
      </c>
      <c r="M223" s="7">
        <f>$B223*'Janssen Payments'!K$22</f>
        <v>3060.3361158673642</v>
      </c>
      <c r="N223" s="7">
        <f>$B223*'Janssen Payments'!L$22</f>
        <v>3896.343244220699</v>
      </c>
      <c r="O223" s="7">
        <f>$B223*'Janssen Payments'!M$22</f>
        <v>3896.343251473088</v>
      </c>
      <c r="P223" s="7">
        <f>$B223*'Janssen Payments'!N$22</f>
        <v>3896.343244220699</v>
      </c>
      <c r="Q223" s="7">
        <f>$B223*'Janssen Payments'!$O$22</f>
        <v>3642.082422643924</v>
      </c>
      <c r="R223" s="7">
        <v>0</v>
      </c>
      <c r="S223" s="7">
        <f t="shared" si="3"/>
        <v>79252.340617657203</v>
      </c>
    </row>
    <row r="224" spans="1:19" customFormat="1" x14ac:dyDescent="0.35">
      <c r="A224" s="3" t="s">
        <v>22</v>
      </c>
      <c r="B224" s="6">
        <v>2.7031152815121587E-4</v>
      </c>
      <c r="C224" s="8" t="s">
        <v>247</v>
      </c>
      <c r="D224" s="33" t="s">
        <v>336</v>
      </c>
      <c r="E224" s="12">
        <v>910.71</v>
      </c>
      <c r="F224" s="13">
        <v>2598.9499999999998</v>
      </c>
      <c r="G224" s="13">
        <v>2009.12</v>
      </c>
      <c r="H224" s="13">
        <v>3275.43</v>
      </c>
      <c r="I224" s="13">
        <v>3669.03</v>
      </c>
      <c r="J224" s="12">
        <v>0</v>
      </c>
      <c r="K224" s="7">
        <f>$B224*'Janssen Payments'!I$22</f>
        <v>696.77569704665041</v>
      </c>
      <c r="L224" s="7">
        <f>$B224*'Janssen Payments'!J$22</f>
        <v>696.77569539543038</v>
      </c>
      <c r="M224" s="7">
        <f>$B224*'Janssen Payments'!K$22</f>
        <v>696.77568398364485</v>
      </c>
      <c r="N224" s="7">
        <f>$B224*'Janssen Payments'!L$22</f>
        <v>887.11733817429968</v>
      </c>
      <c r="O224" s="7">
        <f>$B224*'Janssen Payments'!M$22</f>
        <v>887.11733982551971</v>
      </c>
      <c r="P224" s="7">
        <f>$B224*'Janssen Payments'!N$22</f>
        <v>887.11733817429968</v>
      </c>
      <c r="Q224" s="7">
        <f>$B224*'Janssen Payments'!$O$22</f>
        <v>829.22737081227046</v>
      </c>
      <c r="R224" s="7">
        <v>0</v>
      </c>
      <c r="S224" s="7">
        <f t="shared" si="3"/>
        <v>18044.146463412115</v>
      </c>
    </row>
    <row r="225" spans="1:19" customFormat="1" x14ac:dyDescent="0.35">
      <c r="A225" s="3" t="s">
        <v>34</v>
      </c>
      <c r="B225" s="6">
        <v>2.2358267865419144E-4</v>
      </c>
      <c r="C225" s="8" t="s">
        <v>248</v>
      </c>
      <c r="D225" s="33" t="s">
        <v>336</v>
      </c>
      <c r="E225" s="12">
        <v>753.27</v>
      </c>
      <c r="F225" s="13">
        <v>2149.67</v>
      </c>
      <c r="G225" s="13">
        <v>1661.8</v>
      </c>
      <c r="H225" s="13">
        <v>2709.2</v>
      </c>
      <c r="I225" s="13">
        <v>3034.76</v>
      </c>
      <c r="J225" s="12">
        <v>0</v>
      </c>
      <c r="K225" s="7">
        <f>$B225*'Janssen Payments'!I$22</f>
        <v>576.32383580652231</v>
      </c>
      <c r="L225" s="7">
        <f>$B225*'Janssen Payments'!J$22</f>
        <v>576.32383444074935</v>
      </c>
      <c r="M225" s="7">
        <f>$B225*'Janssen Payments'!K$22</f>
        <v>576.32382500172321</v>
      </c>
      <c r="N225" s="7">
        <f>$B225*'Janssen Payments'!L$22</f>
        <v>733.76105009709318</v>
      </c>
      <c r="O225" s="7">
        <f>$B225*'Janssen Payments'!M$22</f>
        <v>733.76105146286613</v>
      </c>
      <c r="P225" s="7">
        <f>$B225*'Janssen Payments'!N$22</f>
        <v>733.76105009709318</v>
      </c>
      <c r="Q225" s="7">
        <f>$B225*'Janssen Payments'!$O$22</f>
        <v>685.87854187211803</v>
      </c>
      <c r="R225" s="7">
        <v>0</v>
      </c>
      <c r="S225" s="7">
        <f t="shared" si="3"/>
        <v>14924.833188778168</v>
      </c>
    </row>
    <row r="226" spans="1:19" customFormat="1" x14ac:dyDescent="0.35">
      <c r="A226" s="3" t="s">
        <v>34</v>
      </c>
      <c r="B226" s="6">
        <v>3.7854251384083782E-4</v>
      </c>
      <c r="C226" s="8" t="s">
        <v>249</v>
      </c>
      <c r="D226" s="33" t="s">
        <v>336</v>
      </c>
      <c r="E226" s="13">
        <v>1275.3499999999999</v>
      </c>
      <c r="F226" s="13">
        <v>3639.55</v>
      </c>
      <c r="G226" s="13">
        <v>2813.56</v>
      </c>
      <c r="H226" s="13">
        <v>4586.8900000000003</v>
      </c>
      <c r="I226" s="13">
        <v>5138.08</v>
      </c>
      <c r="J226" s="12">
        <v>0</v>
      </c>
      <c r="K226" s="7">
        <f>$B226*'Janssen Payments'!I$22</f>
        <v>975.76017474064463</v>
      </c>
      <c r="L226" s="7">
        <f>$B226*'Janssen Payments'!J$22</f>
        <v>975.76017242828686</v>
      </c>
      <c r="M226" s="7">
        <f>$B226*'Janssen Payments'!K$22</f>
        <v>975.76015644729625</v>
      </c>
      <c r="N226" s="7">
        <f>$B226*'Janssen Payments'!L$22</f>
        <v>1242.3133765735456</v>
      </c>
      <c r="O226" s="7">
        <f>$B226*'Janssen Payments'!M$22</f>
        <v>1242.3133788859036</v>
      </c>
      <c r="P226" s="7">
        <f>$B226*'Janssen Payments'!N$22</f>
        <v>1242.3133765735456</v>
      </c>
      <c r="Q226" s="7">
        <f>$B226*'Janssen Payments'!$O$22</f>
        <v>1161.2446410990908</v>
      </c>
      <c r="R226" s="7">
        <v>0</v>
      </c>
      <c r="S226" s="7">
        <f t="shared" si="3"/>
        <v>25268.895276748317</v>
      </c>
    </row>
    <row r="227" spans="1:19" customFormat="1" x14ac:dyDescent="0.35">
      <c r="A227" s="3" t="s">
        <v>22</v>
      </c>
      <c r="B227" s="6">
        <v>1.0430545820800002E-3</v>
      </c>
      <c r="C227" s="8" t="s">
        <v>250</v>
      </c>
      <c r="D227" s="33" t="s">
        <v>336</v>
      </c>
      <c r="E227" s="13">
        <v>3409.29</v>
      </c>
      <c r="F227" s="13">
        <v>9729.33</v>
      </c>
      <c r="G227" s="13">
        <v>7521.27</v>
      </c>
      <c r="H227" s="13">
        <v>12261.78</v>
      </c>
      <c r="I227" s="13">
        <v>13735.24</v>
      </c>
      <c r="J227" s="12">
        <v>0</v>
      </c>
      <c r="K227" s="7">
        <f>$B227*'Janssen Payments'!I$22</f>
        <v>2688.6573741683969</v>
      </c>
      <c r="L227" s="7">
        <f>$B227*'Janssen Payments'!J$22</f>
        <v>2688.6573677968127</v>
      </c>
      <c r="M227" s="7">
        <f>$B227*'Janssen Payments'!K$22</f>
        <v>2688.6573237620087</v>
      </c>
      <c r="N227" s="7">
        <f>$B227*'Janssen Payments'!L$22</f>
        <v>3423.1311211695142</v>
      </c>
      <c r="O227" s="7">
        <f>$B227*'Janssen Payments'!M$22</f>
        <v>3423.1311275410981</v>
      </c>
      <c r="P227" s="7">
        <f>$B227*'Janssen Payments'!N$22</f>
        <v>3423.1311211695142</v>
      </c>
      <c r="Q227" s="7">
        <f>$B227*'Janssen Payments'!$O$22</f>
        <v>3199.7503570326348</v>
      </c>
      <c r="R227" s="7">
        <v>0</v>
      </c>
      <c r="S227" s="7">
        <f t="shared" si="3"/>
        <v>68192.025792639979</v>
      </c>
    </row>
    <row r="228" spans="1:19" customFormat="1" x14ac:dyDescent="0.35">
      <c r="A228" s="3" t="s">
        <v>251</v>
      </c>
      <c r="B228" s="6">
        <v>4.3018366798400001E-3</v>
      </c>
      <c r="C228" s="8" t="s">
        <v>251</v>
      </c>
      <c r="D228" s="33" t="s">
        <v>336</v>
      </c>
      <c r="E228" s="13">
        <v>14060.82</v>
      </c>
      <c r="F228" s="13">
        <v>40126.36</v>
      </c>
      <c r="G228" s="13">
        <v>31019.74</v>
      </c>
      <c r="H228" s="13">
        <v>50570.86</v>
      </c>
      <c r="I228" s="13">
        <v>56647.82</v>
      </c>
      <c r="J228" s="12">
        <v>0</v>
      </c>
      <c r="K228" s="7">
        <f>$B228*'Janssen Payments'!I$22</f>
        <v>11088.743686505188</v>
      </c>
      <c r="L228" s="7">
        <f>$B228*'Janssen Payments'!J$22</f>
        <v>11088.743660227068</v>
      </c>
      <c r="M228" s="7">
        <f>$B228*'Janssen Payments'!K$22</f>
        <v>11088.743478615732</v>
      </c>
      <c r="N228" s="7">
        <f>$B228*'Janssen Payments'!L$22</f>
        <v>14117.910289587708</v>
      </c>
      <c r="O228" s="7">
        <f>$B228*'Janssen Payments'!M$22</f>
        <v>14117.910315865827</v>
      </c>
      <c r="P228" s="7">
        <f>$B228*'Janssen Payments'!N$22</f>
        <v>14117.910289587708</v>
      </c>
      <c r="Q228" s="7">
        <f>$B228*'Janssen Payments'!$O$22</f>
        <v>13196.628142666452</v>
      </c>
      <c r="R228" s="7">
        <v>0</v>
      </c>
      <c r="S228" s="7">
        <f t="shared" si="3"/>
        <v>281242.18986305571</v>
      </c>
    </row>
    <row r="229" spans="1:19" customFormat="1" x14ac:dyDescent="0.35">
      <c r="A229" s="3" t="s">
        <v>75</v>
      </c>
      <c r="B229" s="6">
        <v>2.3935078225325885E-3</v>
      </c>
      <c r="C229" s="8" t="s">
        <v>252</v>
      </c>
      <c r="D229" s="33" t="s">
        <v>336</v>
      </c>
      <c r="E229" s="13">
        <v>8063.96</v>
      </c>
      <c r="F229" s="13">
        <v>23012.7</v>
      </c>
      <c r="G229" s="13">
        <v>17790</v>
      </c>
      <c r="H229" s="13">
        <v>29002.68</v>
      </c>
      <c r="I229" s="13">
        <v>32487.85</v>
      </c>
      <c r="J229" s="12">
        <v>0</v>
      </c>
      <c r="K229" s="7">
        <f>$B229*'Janssen Payments'!I$22</f>
        <v>6169.6890725977464</v>
      </c>
      <c r="L229" s="7">
        <f>$B229*'Janssen Payments'!J$22</f>
        <v>6169.6890579768087</v>
      </c>
      <c r="M229" s="7">
        <f>$B229*'Janssen Payments'!K$22</f>
        <v>6169.6889569297018</v>
      </c>
      <c r="N229" s="7">
        <f>$B229*'Janssen Payments'!L$22</f>
        <v>7855.0933544967384</v>
      </c>
      <c r="O229" s="7">
        <f>$B229*'Janssen Payments'!M$22</f>
        <v>7855.093369117677</v>
      </c>
      <c r="P229" s="7">
        <f>$B229*'Janssen Payments'!N$22</f>
        <v>7855.0933544967384</v>
      </c>
      <c r="Q229" s="7">
        <f>$B229*'Janssen Payments'!$O$22</f>
        <v>7342.4992721250073</v>
      </c>
      <c r="R229" s="7">
        <v>0</v>
      </c>
      <c r="S229" s="7">
        <f t="shared" si="3"/>
        <v>159774.0364377404</v>
      </c>
    </row>
    <row r="230" spans="1:19" customFormat="1" x14ac:dyDescent="0.35">
      <c r="A230" s="3" t="s">
        <v>34</v>
      </c>
      <c r="B230" s="6">
        <v>1.4540146793189084E-3</v>
      </c>
      <c r="C230" s="8" t="s">
        <v>253</v>
      </c>
      <c r="D230" s="33" t="s">
        <v>336</v>
      </c>
      <c r="E230" s="13">
        <v>4898.72</v>
      </c>
      <c r="F230" s="13">
        <v>13979.82</v>
      </c>
      <c r="G230" s="13">
        <v>10807.12</v>
      </c>
      <c r="H230" s="13">
        <v>17618.63</v>
      </c>
      <c r="I230" s="13">
        <v>19735.810000000001</v>
      </c>
      <c r="J230" s="12">
        <v>0</v>
      </c>
      <c r="K230" s="7">
        <f>$B230*'Janssen Payments'!I$22</f>
        <v>3747.9795946095951</v>
      </c>
      <c r="L230" s="7">
        <f>$B230*'Janssen Payments'!J$22</f>
        <v>3747.9795857276281</v>
      </c>
      <c r="M230" s="7">
        <f>$B230*'Janssen Payments'!K$22</f>
        <v>3747.979524343255</v>
      </c>
      <c r="N230" s="7">
        <f>$B230*'Janssen Payments'!L$22</f>
        <v>4771.8335980926831</v>
      </c>
      <c r="O230" s="7">
        <f>$B230*'Janssen Payments'!M$22</f>
        <v>4771.8336069746501</v>
      </c>
      <c r="P230" s="7">
        <f>$B230*'Janssen Payments'!N$22</f>
        <v>4771.8335980926831</v>
      </c>
      <c r="Q230" s="7">
        <f>$B230*'Janssen Payments'!$O$22</f>
        <v>4460.4415427653366</v>
      </c>
      <c r="R230" s="7">
        <v>0</v>
      </c>
      <c r="S230" s="7">
        <f t="shared" si="3"/>
        <v>97059.981050605827</v>
      </c>
    </row>
    <row r="231" spans="1:19" customFormat="1" x14ac:dyDescent="0.35">
      <c r="A231" s="3" t="s">
        <v>254</v>
      </c>
      <c r="B231" s="6">
        <v>3.876029547334927E-4</v>
      </c>
      <c r="C231" s="8" t="s">
        <v>255</v>
      </c>
      <c r="D231" s="33" t="s">
        <v>336</v>
      </c>
      <c r="E231" s="13">
        <v>1305.8699999999999</v>
      </c>
      <c r="F231" s="13">
        <v>3726.66</v>
      </c>
      <c r="G231" s="13">
        <v>2880.9</v>
      </c>
      <c r="H231" s="13">
        <v>4696.67</v>
      </c>
      <c r="I231" s="13">
        <v>5261.06</v>
      </c>
      <c r="J231" s="12">
        <v>0</v>
      </c>
      <c r="K231" s="7">
        <f>$B231*'Janssen Payments'!I$22</f>
        <v>999.11506108865842</v>
      </c>
      <c r="L231" s="7">
        <f>$B231*'Janssen Payments'!J$22</f>
        <v>999.11505872095415</v>
      </c>
      <c r="M231" s="7">
        <f>$B231*'Janssen Payments'!K$22</f>
        <v>999.11504235745747</v>
      </c>
      <c r="N231" s="7">
        <f>$B231*'Janssen Payments'!L$22</f>
        <v>1272.0482319914811</v>
      </c>
      <c r="O231" s="7">
        <f>$B231*'Janssen Payments'!M$22</f>
        <v>1272.0482343591852</v>
      </c>
      <c r="P231" s="7">
        <f>$B231*'Janssen Payments'!N$22</f>
        <v>1272.0482319914811</v>
      </c>
      <c r="Q231" s="7">
        <f>$B231*'Janssen Payments'!$O$22</f>
        <v>1189.0391108029994</v>
      </c>
      <c r="R231" s="7">
        <v>0</v>
      </c>
      <c r="S231" s="7">
        <f t="shared" si="3"/>
        <v>25873.688971312218</v>
      </c>
    </row>
    <row r="232" spans="1:19" customFormat="1" x14ac:dyDescent="0.35">
      <c r="A232" s="3" t="s">
        <v>254</v>
      </c>
      <c r="B232" s="6">
        <v>2.412683402120632E-3</v>
      </c>
      <c r="C232" s="8" t="s">
        <v>256</v>
      </c>
      <c r="D232" s="33" t="s">
        <v>336</v>
      </c>
      <c r="E232" s="13">
        <v>8128.57</v>
      </c>
      <c r="F232" s="13">
        <v>23197.07</v>
      </c>
      <c r="G232" s="13">
        <v>17932.52</v>
      </c>
      <c r="H232" s="13">
        <v>29235.040000000001</v>
      </c>
      <c r="I232" s="13">
        <v>32748.13</v>
      </c>
      <c r="J232" s="12">
        <v>0</v>
      </c>
      <c r="K232" s="7">
        <f>$B232*'Janssen Payments'!I$22</f>
        <v>6219.1175151252082</v>
      </c>
      <c r="L232" s="7">
        <f>$B232*'Janssen Payments'!J$22</f>
        <v>6219.1175003871349</v>
      </c>
      <c r="M232" s="7">
        <f>$B232*'Janssen Payments'!K$22</f>
        <v>6219.1173985304886</v>
      </c>
      <c r="N232" s="7">
        <f>$B232*'Janssen Payments'!L$22</f>
        <v>7918.0244075614773</v>
      </c>
      <c r="O232" s="7">
        <f>$B232*'Janssen Payments'!M$22</f>
        <v>7918.0244222995507</v>
      </c>
      <c r="P232" s="7">
        <f>$B232*'Janssen Payments'!N$22</f>
        <v>7918.0244075614773</v>
      </c>
      <c r="Q232" s="7">
        <f>$B232*'Janssen Payments'!$O$22</f>
        <v>7401.3236794832446</v>
      </c>
      <c r="R232" s="7">
        <v>0</v>
      </c>
      <c r="S232" s="7">
        <f t="shared" si="3"/>
        <v>161054.07933094862</v>
      </c>
    </row>
    <row r="233" spans="1:19" customFormat="1" x14ac:dyDescent="0.35">
      <c r="A233" s="3" t="s">
        <v>254</v>
      </c>
      <c r="B233" s="6">
        <v>1.8697505970799999E-2</v>
      </c>
      <c r="C233" s="8" t="s">
        <v>254</v>
      </c>
      <c r="D233" s="33" t="s">
        <v>336</v>
      </c>
      <c r="E233" s="13">
        <v>61113.97</v>
      </c>
      <c r="F233" s="13">
        <v>174405.26</v>
      </c>
      <c r="G233" s="13">
        <v>134824.21</v>
      </c>
      <c r="H233" s="13">
        <v>219801.24</v>
      </c>
      <c r="I233" s="13">
        <v>246214.12</v>
      </c>
      <c r="J233" s="12">
        <v>0</v>
      </c>
      <c r="K233" s="7">
        <f>$B233*'Janssen Payments'!I$22</f>
        <v>48196.123357898592</v>
      </c>
      <c r="L233" s="7">
        <f>$B233*'Janssen Payments'!J$22</f>
        <v>48196.123243683345</v>
      </c>
      <c r="M233" s="7">
        <f>$B233*'Janssen Payments'!K$22</f>
        <v>48196.122454327713</v>
      </c>
      <c r="N233" s="7">
        <f>$B233*'Janssen Payments'!L$22</f>
        <v>61362.095211992761</v>
      </c>
      <c r="O233" s="7">
        <f>$B233*'Janssen Payments'!M$22</f>
        <v>61362.095326208</v>
      </c>
      <c r="P233" s="7">
        <f>$B233*'Janssen Payments'!N$22</f>
        <v>61362.095211992761</v>
      </c>
      <c r="Q233" s="7">
        <f>$B233*'Janssen Payments'!$O$22</f>
        <v>57357.833840663276</v>
      </c>
      <c r="R233" s="7">
        <v>0</v>
      </c>
      <c r="S233" s="7">
        <f t="shared" si="3"/>
        <v>1222391.2886467665</v>
      </c>
    </row>
    <row r="234" spans="1:19" customFormat="1" x14ac:dyDescent="0.35">
      <c r="A234" s="3" t="s">
        <v>257</v>
      </c>
      <c r="B234" s="6">
        <v>3.8845852225600007E-3</v>
      </c>
      <c r="C234" s="8" t="s">
        <v>257</v>
      </c>
      <c r="D234" s="33" t="s">
        <v>336</v>
      </c>
      <c r="E234" s="13">
        <v>12697.01</v>
      </c>
      <c r="F234" s="13">
        <v>36234.36</v>
      </c>
      <c r="G234" s="13">
        <v>28011.02</v>
      </c>
      <c r="H234" s="13">
        <v>45665.8</v>
      </c>
      <c r="I234" s="13">
        <v>51153.33</v>
      </c>
      <c r="J234" s="12">
        <v>0</v>
      </c>
      <c r="K234" s="7">
        <f>$B234*'Janssen Payments'!I$22</f>
        <v>10013.204374591847</v>
      </c>
      <c r="L234" s="7">
        <f>$B234*'Janssen Payments'!J$22</f>
        <v>10013.204350862541</v>
      </c>
      <c r="M234" s="7">
        <f>$B234*'Janssen Payments'!K$22</f>
        <v>10013.204186866378</v>
      </c>
      <c r="N234" s="7">
        <f>$B234*'Janssen Payments'!L$22</f>
        <v>12748.56061862394</v>
      </c>
      <c r="O234" s="7">
        <f>$B234*'Janssen Payments'!M$22</f>
        <v>12748.560642353246</v>
      </c>
      <c r="P234" s="7">
        <f>$B234*'Janssen Payments'!N$22</f>
        <v>12748.56061862394</v>
      </c>
      <c r="Q234" s="7">
        <f>$B234*'Janssen Payments'!$O$22</f>
        <v>11916.637121734753</v>
      </c>
      <c r="R234" s="7">
        <v>0</v>
      </c>
      <c r="S234" s="7">
        <f t="shared" si="3"/>
        <v>253963.4519136567</v>
      </c>
    </row>
    <row r="235" spans="1:19" customFormat="1" x14ac:dyDescent="0.35">
      <c r="A235" s="3" t="s">
        <v>77</v>
      </c>
      <c r="B235" s="6">
        <v>1.1028617297600002E-3</v>
      </c>
      <c r="C235" s="8" t="s">
        <v>258</v>
      </c>
      <c r="D235" s="33" t="s">
        <v>336</v>
      </c>
      <c r="E235" s="13">
        <v>3604.77</v>
      </c>
      <c r="F235" s="13">
        <v>10287.19</v>
      </c>
      <c r="G235" s="13">
        <v>7952.53</v>
      </c>
      <c r="H235" s="13">
        <v>12964.85</v>
      </c>
      <c r="I235" s="13">
        <v>14522.8</v>
      </c>
      <c r="J235" s="12">
        <v>0</v>
      </c>
      <c r="K235" s="7">
        <f>$B235*'Janssen Payments'!I$22</f>
        <v>2842.8208584197678</v>
      </c>
      <c r="L235" s="7">
        <f>$B235*'Janssen Payments'!J$22</f>
        <v>2842.8208516828468</v>
      </c>
      <c r="M235" s="7">
        <f>$B235*'Janssen Payments'!K$22</f>
        <v>2842.8208051231545</v>
      </c>
      <c r="N235" s="7">
        <f>$B235*'Janssen Payments'!L$22</f>
        <v>3619.4082019753268</v>
      </c>
      <c r="O235" s="7">
        <f>$B235*'Janssen Payments'!M$22</f>
        <v>3619.4082087122474</v>
      </c>
      <c r="P235" s="7">
        <f>$B235*'Janssen Payments'!N$22</f>
        <v>3619.4082019753268</v>
      </c>
      <c r="Q235" s="7">
        <f>$B235*'Janssen Payments'!$O$22</f>
        <v>3383.2191279195508</v>
      </c>
      <c r="R235" s="7">
        <v>0</v>
      </c>
      <c r="S235" s="7">
        <f t="shared" si="3"/>
        <v>72102.046255808222</v>
      </c>
    </row>
    <row r="236" spans="1:19" customFormat="1" x14ac:dyDescent="0.35">
      <c r="A236" s="3" t="s">
        <v>259</v>
      </c>
      <c r="B236" s="6">
        <v>4.4222389828674479E-4</v>
      </c>
      <c r="C236" s="8" t="s">
        <v>259</v>
      </c>
      <c r="D236" s="33" t="s">
        <v>336</v>
      </c>
      <c r="E236" s="13">
        <v>1489.9</v>
      </c>
      <c r="F236" s="13">
        <v>4251.82</v>
      </c>
      <c r="G236" s="13">
        <v>3286.88</v>
      </c>
      <c r="H236" s="13">
        <v>5358.53</v>
      </c>
      <c r="I236" s="13">
        <v>6002.45</v>
      </c>
      <c r="J236" s="12">
        <v>0</v>
      </c>
      <c r="K236" s="7">
        <f>$B236*'Janssen Payments'!I$22</f>
        <v>1139.9101883921915</v>
      </c>
      <c r="L236" s="7">
        <f>$B236*'Janssen Payments'!J$22</f>
        <v>1139.9101856908305</v>
      </c>
      <c r="M236" s="7">
        <f>$B236*'Janssen Payments'!K$22</f>
        <v>1139.9101670213927</v>
      </c>
      <c r="N236" s="7">
        <f>$B236*'Janssen Payments'!L$22</f>
        <v>1451.3050560897236</v>
      </c>
      <c r="O236" s="7">
        <f>$B236*'Janssen Payments'!M$22</f>
        <v>1451.3050587910845</v>
      </c>
      <c r="P236" s="7">
        <f>$B236*'Janssen Payments'!N$22</f>
        <v>1451.3050560897236</v>
      </c>
      <c r="Q236" s="7">
        <f>$B236*'Janssen Payments'!$O$22</f>
        <v>1356.5983034268932</v>
      </c>
      <c r="R236" s="7">
        <v>0</v>
      </c>
      <c r="S236" s="7">
        <f t="shared" si="3"/>
        <v>29519.824015501839</v>
      </c>
    </row>
    <row r="237" spans="1:19" customFormat="1" x14ac:dyDescent="0.35">
      <c r="A237" s="3" t="s">
        <v>28</v>
      </c>
      <c r="B237" s="6">
        <v>2.8859903906545211E-5</v>
      </c>
      <c r="C237" s="8" t="s">
        <v>260</v>
      </c>
      <c r="D237" s="33" t="s">
        <v>336</v>
      </c>
      <c r="E237" s="12">
        <v>97.23</v>
      </c>
      <c r="F237" s="12">
        <v>277.48</v>
      </c>
      <c r="G237" s="12">
        <v>214.5</v>
      </c>
      <c r="H237" s="12">
        <v>349.7</v>
      </c>
      <c r="I237" s="12">
        <v>391.72</v>
      </c>
      <c r="J237" s="12">
        <v>0</v>
      </c>
      <c r="K237" s="7">
        <f>$B237*'Janssen Payments'!I$22</f>
        <v>74.391498574686068</v>
      </c>
      <c r="L237" s="7">
        <f>$B237*'Janssen Payments'!J$22</f>
        <v>74.391498398392983</v>
      </c>
      <c r="M237" s="7">
        <f>$B237*'Janssen Payments'!K$22</f>
        <v>74.39149718000975</v>
      </c>
      <c r="N237" s="7">
        <f>$B237*'Janssen Payments'!L$22</f>
        <v>94.713389801186324</v>
      </c>
      <c r="O237" s="7">
        <f>$B237*'Janssen Payments'!M$22</f>
        <v>94.713389977479395</v>
      </c>
      <c r="P237" s="7">
        <f>$B237*'Janssen Payments'!N$22</f>
        <v>94.713389801186324</v>
      </c>
      <c r="Q237" s="7">
        <f>$B237*'Janssen Payments'!$O$22</f>
        <v>88.532747389640377</v>
      </c>
      <c r="R237" s="7">
        <v>0</v>
      </c>
      <c r="S237" s="7">
        <f t="shared" si="3"/>
        <v>1926.4774111225815</v>
      </c>
    </row>
    <row r="238" spans="1:19" customFormat="1" x14ac:dyDescent="0.35">
      <c r="A238" s="3" t="s">
        <v>75</v>
      </c>
      <c r="B238" s="6">
        <v>2.8371065529744356E-3</v>
      </c>
      <c r="C238" s="8" t="s">
        <v>261</v>
      </c>
      <c r="D238" s="33" t="s">
        <v>336</v>
      </c>
      <c r="E238" s="13">
        <v>9558.49</v>
      </c>
      <c r="F238" s="13">
        <v>27277.74</v>
      </c>
      <c r="G238" s="13">
        <v>21087.09</v>
      </c>
      <c r="H238" s="13">
        <v>34377.870000000003</v>
      </c>
      <c r="I238" s="13">
        <v>38508.959999999999</v>
      </c>
      <c r="J238" s="12">
        <v>0</v>
      </c>
      <c r="K238" s="7">
        <f>$B238*'Janssen Payments'!I$22</f>
        <v>7313.1431336458527</v>
      </c>
      <c r="L238" s="7">
        <f>$B238*'Janssen Payments'!J$22</f>
        <v>7313.1431163151556</v>
      </c>
      <c r="M238" s="7">
        <f>$B238*'Janssen Payments'!K$22</f>
        <v>7313.1429965405687</v>
      </c>
      <c r="N238" s="7">
        <f>$B238*'Janssen Payments'!L$22</f>
        <v>9310.9103803504331</v>
      </c>
      <c r="O238" s="7">
        <f>$B238*'Janssen Payments'!M$22</f>
        <v>9310.9103976811293</v>
      </c>
      <c r="P238" s="7">
        <f>$B238*'Janssen Payments'!N$22</f>
        <v>9310.9103803504331</v>
      </c>
      <c r="Q238" s="7">
        <f>$B238*'Janssen Payments'!$O$22</f>
        <v>8703.3151110047202</v>
      </c>
      <c r="R238" s="7">
        <v>0</v>
      </c>
      <c r="S238" s="7">
        <f t="shared" si="3"/>
        <v>189385.62551588824</v>
      </c>
    </row>
    <row r="239" spans="1:19" customFormat="1" x14ac:dyDescent="0.35">
      <c r="A239" s="3" t="s">
        <v>234</v>
      </c>
      <c r="B239" s="6">
        <v>8.1260410302400003E-3</v>
      </c>
      <c r="C239" s="8" t="s">
        <v>234</v>
      </c>
      <c r="D239" s="33" t="s">
        <v>336</v>
      </c>
      <c r="E239" s="13">
        <v>26560.47</v>
      </c>
      <c r="F239" s="13">
        <v>75797.509999999995</v>
      </c>
      <c r="G239" s="13">
        <v>58595.360000000001</v>
      </c>
      <c r="H239" s="13">
        <v>95526.85</v>
      </c>
      <c r="I239" s="13">
        <v>107006.04</v>
      </c>
      <c r="J239" s="12">
        <v>0</v>
      </c>
      <c r="K239" s="7">
        <f>$B239*'Janssen Payments'!I$22</f>
        <v>20946.305700686742</v>
      </c>
      <c r="L239" s="7">
        <f>$B239*'Janssen Payments'!J$22</f>
        <v>20946.305651048155</v>
      </c>
      <c r="M239" s="7">
        <f>$B239*'Janssen Payments'!K$22</f>
        <v>20946.305307989765</v>
      </c>
      <c r="N239" s="7">
        <f>$B239*'Janssen Payments'!L$22</f>
        <v>26668.31095937936</v>
      </c>
      <c r="O239" s="7">
        <f>$B239*'Janssen Payments'!M$22</f>
        <v>26668.311009017943</v>
      </c>
      <c r="P239" s="7">
        <f>$B239*'Janssen Payments'!N$22</f>
        <v>26668.31095937936</v>
      </c>
      <c r="Q239" s="7">
        <f>$B239*'Janssen Payments'!$O$22</f>
        <v>24928.036494429623</v>
      </c>
      <c r="R239" s="7">
        <v>0</v>
      </c>
      <c r="S239" s="7">
        <f t="shared" si="3"/>
        <v>531258.11608193093</v>
      </c>
    </row>
    <row r="240" spans="1:19" customFormat="1" x14ac:dyDescent="0.35">
      <c r="A240" s="3" t="s">
        <v>34</v>
      </c>
      <c r="B240" s="6">
        <v>1.4503783443063924E-4</v>
      </c>
      <c r="C240" s="8" t="s">
        <v>262</v>
      </c>
      <c r="D240" s="33" t="s">
        <v>336</v>
      </c>
      <c r="E240" s="12">
        <v>488.65</v>
      </c>
      <c r="F240" s="13">
        <v>1394.49</v>
      </c>
      <c r="G240" s="13">
        <v>1078.01</v>
      </c>
      <c r="H240" s="13">
        <v>1757.46</v>
      </c>
      <c r="I240" s="13">
        <v>1968.65</v>
      </c>
      <c r="J240" s="12">
        <v>0</v>
      </c>
      <c r="K240" s="7">
        <f>$B240*'Janssen Payments'!I$22</f>
        <v>373.86062989889081</v>
      </c>
      <c r="L240" s="7">
        <f>$B240*'Janssen Payments'!J$22</f>
        <v>373.86062901291541</v>
      </c>
      <c r="M240" s="7">
        <f>$B240*'Janssen Payments'!K$22</f>
        <v>373.86062288982964</v>
      </c>
      <c r="N240" s="7">
        <f>$B240*'Janssen Payments'!L$22</f>
        <v>475.98997532467882</v>
      </c>
      <c r="O240" s="7">
        <f>$B240*'Janssen Payments'!M$22</f>
        <v>475.98997621065428</v>
      </c>
      <c r="P240" s="7">
        <f>$B240*'Janssen Payments'!N$22</f>
        <v>475.98997532467882</v>
      </c>
      <c r="Q240" s="7">
        <f>$B240*'Janssen Payments'!$O$22</f>
        <v>444.9286456104976</v>
      </c>
      <c r="R240" s="7">
        <v>0</v>
      </c>
      <c r="S240" s="7">
        <f t="shared" si="3"/>
        <v>9681.740454272147</v>
      </c>
    </row>
    <row r="241" spans="1:19" customFormat="1" x14ac:dyDescent="0.35">
      <c r="A241" s="3" t="s">
        <v>34</v>
      </c>
      <c r="B241" s="6">
        <v>2.2034634030822409E-3</v>
      </c>
      <c r="C241" s="8" t="s">
        <v>263</v>
      </c>
      <c r="D241" s="33" t="s">
        <v>336</v>
      </c>
      <c r="E241" s="13">
        <v>7423.68</v>
      </c>
      <c r="F241" s="13">
        <v>21185.49</v>
      </c>
      <c r="G241" s="13">
        <v>16377.47</v>
      </c>
      <c r="H241" s="13">
        <v>26699.87</v>
      </c>
      <c r="I241" s="13">
        <v>29908.32</v>
      </c>
      <c r="J241" s="12">
        <v>0</v>
      </c>
      <c r="K241" s="7">
        <f>$B241*'Janssen Payments'!I$22</f>
        <v>5679.8160222768392</v>
      </c>
      <c r="L241" s="7">
        <f>$B241*'Janssen Payments'!J$22</f>
        <v>5679.8160088168033</v>
      </c>
      <c r="M241" s="7">
        <f>$B241*'Janssen Payments'!K$22</f>
        <v>5679.8159157928321</v>
      </c>
      <c r="N241" s="7">
        <f>$B241*'Janssen Payments'!L$22</f>
        <v>7231.3992757767219</v>
      </c>
      <c r="O241" s="7">
        <f>$B241*'Janssen Payments'!M$22</f>
        <v>7231.3992892367578</v>
      </c>
      <c r="P241" s="7">
        <f>$B241*'Janssen Payments'!N$22</f>
        <v>7231.3992757767219</v>
      </c>
      <c r="Q241" s="7">
        <f>$B241*'Janssen Payments'!$O$22</f>
        <v>6759.5051417740515</v>
      </c>
      <c r="R241" s="7">
        <v>0</v>
      </c>
      <c r="S241" s="7">
        <f t="shared" si="3"/>
        <v>147087.98092945071</v>
      </c>
    </row>
    <row r="242" spans="1:19" customFormat="1" x14ac:dyDescent="0.35">
      <c r="A242" s="3" t="s">
        <v>34</v>
      </c>
      <c r="B242" s="6">
        <v>6.233715083998685E-7</v>
      </c>
      <c r="C242" s="8" t="s">
        <v>264</v>
      </c>
      <c r="D242" s="33" t="s">
        <v>338</v>
      </c>
      <c r="E242" s="12">
        <f>2.1+15.41</f>
        <v>17.510000000000002</v>
      </c>
      <c r="F242" s="12">
        <v>5.99</v>
      </c>
      <c r="G242" s="12">
        <v>4.63</v>
      </c>
      <c r="H242" s="12">
        <v>7.55</v>
      </c>
      <c r="I242" s="12">
        <v>8.4600000000000009</v>
      </c>
      <c r="J242" s="12">
        <v>0</v>
      </c>
      <c r="K242" s="51">
        <f>$B242*'Janssen Payments'!I$22</f>
        <v>1.6068501415942535</v>
      </c>
      <c r="L242" s="51">
        <f>$B242*'Janssen Payments'!J$22</f>
        <v>1.6068501377863378</v>
      </c>
      <c r="M242" s="51">
        <f>$B242*'Janssen Payments'!K$22</f>
        <v>1.6068501114693619</v>
      </c>
      <c r="N242" s="51">
        <f>$B242*'Janssen Payments'!L$22</f>
        <v>2.0458012908573835</v>
      </c>
      <c r="O242" s="51">
        <f>$B242*'Janssen Payments'!M$22</f>
        <v>2.0458012946652993</v>
      </c>
      <c r="P242" s="51">
        <f>$B242*'Janssen Payments'!N$22</f>
        <v>2.0458012908573835</v>
      </c>
      <c r="Q242" s="51">
        <f>$B242*'Janssen Payments'!$O$22</f>
        <v>1.9122999321750422</v>
      </c>
      <c r="R242" s="7">
        <v>0</v>
      </c>
      <c r="S242" s="7">
        <f>E242+F242+G242+H242+I242</f>
        <v>44.14</v>
      </c>
    </row>
    <row r="243" spans="1:19" customFormat="1" x14ac:dyDescent="0.35">
      <c r="A243" s="3" t="s">
        <v>22</v>
      </c>
      <c r="B243" s="6">
        <v>4.9759255439966012E-4</v>
      </c>
      <c r="C243" s="8" t="s">
        <v>265</v>
      </c>
      <c r="D243" s="33" t="s">
        <v>336</v>
      </c>
      <c r="E243" s="13">
        <v>1676.44</v>
      </c>
      <c r="F243" s="13">
        <v>4784.17</v>
      </c>
      <c r="G243" s="13">
        <v>3698.41</v>
      </c>
      <c r="H243" s="13">
        <v>6029.44</v>
      </c>
      <c r="I243" s="13">
        <v>6753.98</v>
      </c>
      <c r="J243" s="12">
        <v>0</v>
      </c>
      <c r="K243" s="7">
        <f>$B243*'Janssen Payments'!I$22</f>
        <v>1282.6326768538413</v>
      </c>
      <c r="L243" s="7">
        <f>$B243*'Janssen Payments'!J$22</f>
        <v>1282.6326738142566</v>
      </c>
      <c r="M243" s="7">
        <f>$B243*'Janssen Payments'!K$22</f>
        <v>1282.6326528073112</v>
      </c>
      <c r="N243" s="7">
        <f>$B243*'Janssen Payments'!L$22</f>
        <v>1633.0157480647256</v>
      </c>
      <c r="O243" s="7">
        <f>$B243*'Janssen Payments'!M$22</f>
        <v>1633.0157511043101</v>
      </c>
      <c r="P243" s="7">
        <f>$B243*'Janssen Payments'!N$22</f>
        <v>1633.0157480647256</v>
      </c>
      <c r="Q243" s="7">
        <f>$B243*'Janssen Payments'!$O$22</f>
        <v>1526.4512336660987</v>
      </c>
      <c r="R243" s="7">
        <v>0</v>
      </c>
      <c r="S243" s="7">
        <f t="shared" si="3"/>
        <v>33215.836484375264</v>
      </c>
    </row>
    <row r="244" spans="1:19" customFormat="1" x14ac:dyDescent="0.35">
      <c r="A244" s="3" t="s">
        <v>24</v>
      </c>
      <c r="B244" s="6">
        <v>5.822653495464015E-5</v>
      </c>
      <c r="C244" s="8" t="s">
        <v>266</v>
      </c>
      <c r="D244" s="33" t="s">
        <v>336</v>
      </c>
      <c r="E244" s="12">
        <v>196.17</v>
      </c>
      <c r="F244" s="12">
        <v>559.83000000000004</v>
      </c>
      <c r="G244" s="12">
        <v>432.77</v>
      </c>
      <c r="H244" s="12">
        <v>705.54</v>
      </c>
      <c r="I244" s="12">
        <v>790.33</v>
      </c>
      <c r="J244" s="12">
        <v>0</v>
      </c>
      <c r="K244" s="7">
        <f>$B244*'Janssen Payments'!I$22</f>
        <v>150.08917583764566</v>
      </c>
      <c r="L244" s="7">
        <f>$B244*'Janssen Payments'!J$22</f>
        <v>150.08917548196413</v>
      </c>
      <c r="M244" s="7">
        <f>$B244*'Janssen Payments'!K$22</f>
        <v>150.08917302380507</v>
      </c>
      <c r="N244" s="7">
        <f>$B244*'Janssen Payments'!L$22</f>
        <v>191.08977354150201</v>
      </c>
      <c r="O244" s="7">
        <f>$B244*'Janssen Payments'!M$22</f>
        <v>191.08977389718353</v>
      </c>
      <c r="P244" s="7">
        <f>$B244*'Janssen Payments'!N$22</f>
        <v>191.08977354150201</v>
      </c>
      <c r="Q244" s="7">
        <f>$B244*'Janssen Payments'!$O$22</f>
        <v>178.61996793912112</v>
      </c>
      <c r="R244" s="7">
        <v>0</v>
      </c>
      <c r="S244" s="7">
        <f t="shared" si="3"/>
        <v>3886.7968132627229</v>
      </c>
    </row>
    <row r="245" spans="1:19" customFormat="1" x14ac:dyDescent="0.35">
      <c r="A245" s="3" t="s">
        <v>34</v>
      </c>
      <c r="B245" s="6">
        <v>2.5038766695741938E-5</v>
      </c>
      <c r="C245" s="8" t="s">
        <v>267</v>
      </c>
      <c r="D245" s="33" t="s">
        <v>336</v>
      </c>
      <c r="E245" s="12">
        <v>84.36</v>
      </c>
      <c r="F245" s="12">
        <v>240.74</v>
      </c>
      <c r="G245" s="12">
        <v>186.1</v>
      </c>
      <c r="H245" s="12">
        <v>303.39999999999998</v>
      </c>
      <c r="I245" s="12">
        <v>339.86</v>
      </c>
      <c r="J245" s="12">
        <v>0</v>
      </c>
      <c r="K245" s="7">
        <f>$B245*'Janssen Payments'!I$22</f>
        <v>64.541842654429047</v>
      </c>
      <c r="L245" s="7">
        <f>$B245*'Janssen Payments'!J$22</f>
        <v>64.541842501477703</v>
      </c>
      <c r="M245" s="7">
        <f>$B245*'Janssen Payments'!K$22</f>
        <v>64.541841444412029</v>
      </c>
      <c r="N245" s="7">
        <f>$B245*'Janssen Payments'!L$22</f>
        <v>82.173054971847236</v>
      </c>
      <c r="O245" s="7">
        <f>$B245*'Janssen Payments'!M$22</f>
        <v>82.17305512479858</v>
      </c>
      <c r="P245" s="7">
        <f>$B245*'Janssen Payments'!N$22</f>
        <v>82.173054971847236</v>
      </c>
      <c r="Q245" s="7">
        <f>$B245*'Janssen Payments'!$O$22</f>
        <v>76.810748019140803</v>
      </c>
      <c r="R245" s="7">
        <v>0</v>
      </c>
      <c r="S245" s="7">
        <f t="shared" si="3"/>
        <v>1671.4154396879528</v>
      </c>
    </row>
    <row r="246" spans="1:19" customFormat="1" x14ac:dyDescent="0.35">
      <c r="A246" s="3" t="s">
        <v>121</v>
      </c>
      <c r="B246" s="6">
        <v>2.2355271010240003E-2</v>
      </c>
      <c r="C246" s="8" t="s">
        <v>121</v>
      </c>
      <c r="D246" s="33" t="s">
        <v>336</v>
      </c>
      <c r="E246" s="13">
        <v>73069.600000000006</v>
      </c>
      <c r="F246" s="13">
        <v>208523.9</v>
      </c>
      <c r="G246" s="13">
        <v>161199.67000000001</v>
      </c>
      <c r="H246" s="13">
        <v>262800.62</v>
      </c>
      <c r="I246" s="13">
        <v>294380.62</v>
      </c>
      <c r="J246" s="12">
        <v>0</v>
      </c>
      <c r="K246" s="7">
        <f>$B246*'Janssen Payments'!I$22</f>
        <v>57624.658657225271</v>
      </c>
      <c r="L246" s="7">
        <f>$B246*'Janssen Payments'!J$22</f>
        <v>57624.658520666278</v>
      </c>
      <c r="M246" s="7">
        <f>$B246*'Janssen Payments'!K$22</f>
        <v>57624.657576890182</v>
      </c>
      <c r="N246" s="7">
        <f>$B246*'Janssen Payments'!L$22</f>
        <v>73366.269830989433</v>
      </c>
      <c r="O246" s="7">
        <f>$B246*'Janssen Payments'!M$22</f>
        <v>73366.269967548418</v>
      </c>
      <c r="P246" s="7">
        <f>$B246*'Janssen Payments'!N$22</f>
        <v>73366.269830989433</v>
      </c>
      <c r="Q246" s="7">
        <f>$B246*'Janssen Payments'!$O$22</f>
        <v>68578.660815556883</v>
      </c>
      <c r="R246" s="7">
        <v>0</v>
      </c>
      <c r="S246" s="7">
        <f t="shared" si="3"/>
        <v>1461525.8551998655</v>
      </c>
    </row>
    <row r="247" spans="1:19" customFormat="1" x14ac:dyDescent="0.35">
      <c r="A247" s="3" t="s">
        <v>268</v>
      </c>
      <c r="B247" s="6">
        <v>2.3891487284155586E-3</v>
      </c>
      <c r="C247" s="8" t="s">
        <v>268</v>
      </c>
      <c r="D247" s="33" t="s">
        <v>336</v>
      </c>
      <c r="E247" s="13">
        <v>8049.28</v>
      </c>
      <c r="F247" s="13">
        <v>22970.79</v>
      </c>
      <c r="G247" s="13">
        <v>17757.599999999999</v>
      </c>
      <c r="H247" s="13">
        <v>28949.86</v>
      </c>
      <c r="I247" s="13">
        <v>32428.68</v>
      </c>
      <c r="J247" s="12">
        <v>0</v>
      </c>
      <c r="K247" s="7">
        <f>$B247*'Janssen Payments'!I$22</f>
        <v>6158.4527377560216</v>
      </c>
      <c r="L247" s="7">
        <f>$B247*'Janssen Payments'!J$22</f>
        <v>6158.4527231617121</v>
      </c>
      <c r="M247" s="7">
        <f>$B247*'Janssen Payments'!K$22</f>
        <v>6158.4526222986333</v>
      </c>
      <c r="N247" s="7">
        <f>$B247*'Janssen Payments'!L$22</f>
        <v>7840.7875348507951</v>
      </c>
      <c r="O247" s="7">
        <f>$B247*'Janssen Payments'!M$22</f>
        <v>7840.7875494451046</v>
      </c>
      <c r="P247" s="7">
        <f>$B247*'Janssen Payments'!N$22</f>
        <v>7840.7875348507951</v>
      </c>
      <c r="Q247" s="7">
        <f>$B247*'Janssen Payments'!$O$22</f>
        <v>7329.1269968894285</v>
      </c>
      <c r="R247" s="7">
        <v>0</v>
      </c>
      <c r="S247" s="7">
        <f t="shared" si="3"/>
        <v>159483.05769925247</v>
      </c>
    </row>
    <row r="248" spans="1:19" customFormat="1" x14ac:dyDescent="0.35">
      <c r="A248" s="3" t="s">
        <v>75</v>
      </c>
      <c r="B248" s="6">
        <v>1.9037739352120678E-3</v>
      </c>
      <c r="C248" s="8" t="s">
        <v>269</v>
      </c>
      <c r="D248" s="33" t="s">
        <v>336</v>
      </c>
      <c r="E248" s="13">
        <v>6414</v>
      </c>
      <c r="F248" s="13">
        <v>18304.09</v>
      </c>
      <c r="G248" s="13">
        <v>14150</v>
      </c>
      <c r="H248" s="13">
        <v>23068.46</v>
      </c>
      <c r="I248" s="13">
        <v>25840.54</v>
      </c>
      <c r="J248" s="12">
        <v>0</v>
      </c>
      <c r="K248" s="7">
        <f>$B248*'Janssen Payments'!I$22</f>
        <v>4907.3134978711287</v>
      </c>
      <c r="L248" s="7">
        <f>$B248*'Janssen Payments'!J$22</f>
        <v>4907.3134862417701</v>
      </c>
      <c r="M248" s="7">
        <f>$B248*'Janssen Payments'!K$22</f>
        <v>4907.3134058698379</v>
      </c>
      <c r="N248" s="7">
        <f>$B248*'Janssen Payments'!L$22</f>
        <v>6247.8684406910106</v>
      </c>
      <c r="O248" s="7">
        <f>$B248*'Janssen Payments'!M$22</f>
        <v>6247.8684523203683</v>
      </c>
      <c r="P248" s="7">
        <f>$B248*'Janssen Payments'!N$22</f>
        <v>6247.8684406910106</v>
      </c>
      <c r="Q248" s="7">
        <f>$B248*'Janssen Payments'!$O$22</f>
        <v>5840.1558591082676</v>
      </c>
      <c r="R248" s="7">
        <v>0</v>
      </c>
      <c r="S248" s="7">
        <f t="shared" si="3"/>
        <v>127082.79158279339</v>
      </c>
    </row>
    <row r="249" spans="1:19" customFormat="1" x14ac:dyDescent="0.35">
      <c r="A249" s="3" t="s">
        <v>75</v>
      </c>
      <c r="B249" s="6">
        <v>1.016015764716E-2</v>
      </c>
      <c r="C249" s="8" t="s">
        <v>271</v>
      </c>
      <c r="D249" s="33" t="s">
        <v>336</v>
      </c>
      <c r="E249" s="13">
        <v>33209.11</v>
      </c>
      <c r="F249" s="13">
        <v>94771.19</v>
      </c>
      <c r="G249" s="13">
        <v>73262.990000000005</v>
      </c>
      <c r="H249" s="13">
        <v>119439.2</v>
      </c>
      <c r="I249" s="13">
        <v>133791.87</v>
      </c>
      <c r="J249" s="12">
        <v>0</v>
      </c>
      <c r="K249" s="7">
        <f>$B249*'Janssen Payments'!I$22</f>
        <v>26189.600477355452</v>
      </c>
      <c r="L249" s="7">
        <f>$B249*'Janssen Payments'!J$22</f>
        <v>26189.600415291301</v>
      </c>
      <c r="M249" s="7">
        <f>$B249*'Janssen Payments'!K$22</f>
        <v>26189.59998635828</v>
      </c>
      <c r="N249" s="7">
        <f>$B249*'Janssen Payments'!L$22</f>
        <v>33343.942335813743</v>
      </c>
      <c r="O249" s="7">
        <f>$B249*'Janssen Payments'!M$22</f>
        <v>33343.942397877894</v>
      </c>
      <c r="P249" s="7">
        <f>$B249*'Janssen Payments'!N$22</f>
        <v>33343.942335813743</v>
      </c>
      <c r="Q249" s="7">
        <f>$B249*'Janssen Payments'!$O$22</f>
        <v>31168.041076219171</v>
      </c>
      <c r="R249" s="7">
        <v>0</v>
      </c>
      <c r="S249" s="7">
        <f t="shared" si="3"/>
        <v>664243.02902472974</v>
      </c>
    </row>
    <row r="250" spans="1:19" customFormat="1" x14ac:dyDescent="0.35">
      <c r="A250" s="3" t="s">
        <v>268</v>
      </c>
      <c r="B250" s="6">
        <v>3.3566938342642616E-4</v>
      </c>
      <c r="C250" s="8" t="s">
        <v>272</v>
      </c>
      <c r="D250" s="33" t="s">
        <v>336</v>
      </c>
      <c r="E250" s="13">
        <v>1130.9000000000001</v>
      </c>
      <c r="F250" s="13">
        <v>3227.34</v>
      </c>
      <c r="G250" s="13">
        <v>2494.9</v>
      </c>
      <c r="H250" s="13">
        <v>4067.38</v>
      </c>
      <c r="I250" s="13">
        <v>4556.1499999999996</v>
      </c>
      <c r="J250" s="12">
        <v>0</v>
      </c>
      <c r="K250" s="7">
        <f>$B250*'Janssen Payments'!I$22</f>
        <v>865.24711030203775</v>
      </c>
      <c r="L250" s="7">
        <f>$B250*'Janssen Payments'!J$22</f>
        <v>865.24710825157388</v>
      </c>
      <c r="M250" s="7">
        <f>$B250*'Janssen Payments'!K$22</f>
        <v>865.24709408056515</v>
      </c>
      <c r="N250" s="7">
        <f>$B250*'Janssen Payments'!L$22</f>
        <v>1101.6109152595168</v>
      </c>
      <c r="O250" s="7">
        <f>$B250*'Janssen Payments'!M$22</f>
        <v>1101.6109173099806</v>
      </c>
      <c r="P250" s="7">
        <f>$B250*'Janssen Payments'!N$22</f>
        <v>1101.6109152595168</v>
      </c>
      <c r="Q250" s="7">
        <f>$B250*'Janssen Payments'!$O$22</f>
        <v>1029.72389740315</v>
      </c>
      <c r="R250" s="7">
        <v>0</v>
      </c>
      <c r="S250" s="7">
        <f t="shared" si="3"/>
        <v>22406.967957866338</v>
      </c>
    </row>
    <row r="251" spans="1:19" customFormat="1" x14ac:dyDescent="0.35">
      <c r="A251" s="3" t="s">
        <v>55</v>
      </c>
      <c r="B251" s="6">
        <v>8.2457609616566252E-5</v>
      </c>
      <c r="C251" s="8" t="s">
        <v>273</v>
      </c>
      <c r="D251" s="33" t="s">
        <v>336</v>
      </c>
      <c r="E251" s="12">
        <v>277.81</v>
      </c>
      <c r="F251" s="12">
        <v>792.8</v>
      </c>
      <c r="G251" s="12">
        <v>612.87</v>
      </c>
      <c r="H251" s="12">
        <v>999.16</v>
      </c>
      <c r="I251" s="13">
        <v>1119.22</v>
      </c>
      <c r="J251" s="12">
        <v>0</v>
      </c>
      <c r="K251" s="7">
        <f>$B251*'Janssen Payments'!I$22</f>
        <v>212.54904964779283</v>
      </c>
      <c r="L251" s="7">
        <f>$B251*'Janssen Payments'!J$22</f>
        <v>212.5490491440938</v>
      </c>
      <c r="M251" s="7">
        <f>$B251*'Janssen Payments'!K$22</f>
        <v>212.54904566296756</v>
      </c>
      <c r="N251" s="7">
        <f>$B251*'Janssen Payments'!L$22</f>
        <v>270.61211800905119</v>
      </c>
      <c r="O251" s="7">
        <f>$B251*'Janssen Payments'!M$22</f>
        <v>270.61211851275021</v>
      </c>
      <c r="P251" s="7">
        <f>$B251*'Janssen Payments'!N$22</f>
        <v>270.61211800905119</v>
      </c>
      <c r="Q251" s="7">
        <f>$B251*'Janssen Payments'!$O$22</f>
        <v>252.95298093079967</v>
      </c>
      <c r="R251" s="7">
        <v>0</v>
      </c>
      <c r="S251" s="7">
        <f t="shared" si="3"/>
        <v>5504.2964799165065</v>
      </c>
    </row>
    <row r="252" spans="1:19" customFormat="1" x14ac:dyDescent="0.35">
      <c r="A252" s="3" t="s">
        <v>28</v>
      </c>
      <c r="B252" s="6">
        <v>6.7902872464836354E-5</v>
      </c>
      <c r="C252" s="8" t="s">
        <v>274</v>
      </c>
      <c r="D252" s="33" t="s">
        <v>336</v>
      </c>
      <c r="E252" s="12">
        <v>228.77</v>
      </c>
      <c r="F252" s="12">
        <v>652.86</v>
      </c>
      <c r="G252" s="12">
        <v>504.7</v>
      </c>
      <c r="H252" s="12">
        <v>822.79</v>
      </c>
      <c r="I252" s="12">
        <v>921.67</v>
      </c>
      <c r="J252" s="12">
        <v>0</v>
      </c>
      <c r="K252" s="7">
        <f>$B252*'Janssen Payments'!I$22</f>
        <v>175.03164447610459</v>
      </c>
      <c r="L252" s="7">
        <f>$B252*'Janssen Payments'!J$22</f>
        <v>175.03164406131435</v>
      </c>
      <c r="M252" s="7">
        <f>$B252*'Janssen Payments'!K$22</f>
        <v>175.03164119464779</v>
      </c>
      <c r="N252" s="7">
        <f>$B252*'Janssen Payments'!L$22</f>
        <v>222.84589890556475</v>
      </c>
      <c r="O252" s="7">
        <f>$B252*'Janssen Payments'!M$22</f>
        <v>222.84589932035499</v>
      </c>
      <c r="P252" s="7">
        <f>$B252*'Janssen Payments'!N$22</f>
        <v>222.84589890556475</v>
      </c>
      <c r="Q252" s="7">
        <f>$B252*'Janssen Payments'!$O$22</f>
        <v>208.30380705449724</v>
      </c>
      <c r="R252" s="7">
        <v>0</v>
      </c>
      <c r="S252" s="7">
        <f t="shared" si="3"/>
        <v>4532.7264339180483</v>
      </c>
    </row>
    <row r="253" spans="1:19" customFormat="1" x14ac:dyDescent="0.35">
      <c r="A253" s="3" t="s">
        <v>22</v>
      </c>
      <c r="B253" s="6">
        <v>2.1085950371517305E-3</v>
      </c>
      <c r="C253" s="8" t="s">
        <v>275</v>
      </c>
      <c r="D253" s="33" t="s">
        <v>336</v>
      </c>
      <c r="E253" s="13">
        <v>7104.06</v>
      </c>
      <c r="F253" s="13">
        <v>20273.37</v>
      </c>
      <c r="G253" s="13">
        <v>15672.35</v>
      </c>
      <c r="H253" s="13">
        <v>25550.33</v>
      </c>
      <c r="I253" s="13">
        <v>28620.639999999999</v>
      </c>
      <c r="J253" s="12">
        <v>0</v>
      </c>
      <c r="K253" s="7">
        <f>$B253*'Janssen Payments'!I$22</f>
        <v>5435.2760566637935</v>
      </c>
      <c r="L253" s="7">
        <f>$B253*'Janssen Payments'!J$22</f>
        <v>5435.2760437832694</v>
      </c>
      <c r="M253" s="7">
        <f>$B253*'Janssen Payments'!K$22</f>
        <v>5435.2759547643709</v>
      </c>
      <c r="N253" s="7">
        <f>$B253*'Janssen Payments'!L$22</f>
        <v>6920.0571260843863</v>
      </c>
      <c r="O253" s="7">
        <f>$B253*'Janssen Payments'!M$22</f>
        <v>6920.0571389649112</v>
      </c>
      <c r="P253" s="7">
        <f>$B253*'Janssen Payments'!N$22</f>
        <v>6920.0571260843863</v>
      </c>
      <c r="Q253" s="7">
        <f>$B253*'Janssen Payments'!$O$22</f>
        <v>6468.4800190504438</v>
      </c>
      <c r="R253" s="7">
        <v>0</v>
      </c>
      <c r="S253" s="7">
        <f t="shared" si="3"/>
        <v>140755.22946539556</v>
      </c>
    </row>
    <row r="254" spans="1:19" customFormat="1" x14ac:dyDescent="0.35">
      <c r="A254" s="3" t="s">
        <v>83</v>
      </c>
      <c r="B254" s="6">
        <v>2.9159787275190172E-5</v>
      </c>
      <c r="C254" s="8" t="s">
        <v>276</v>
      </c>
      <c r="D254" s="33" t="s">
        <v>336</v>
      </c>
      <c r="E254" s="12">
        <v>98.24</v>
      </c>
      <c r="F254" s="12">
        <v>280.36</v>
      </c>
      <c r="G254" s="12">
        <v>216.73</v>
      </c>
      <c r="H254" s="12">
        <v>353.34</v>
      </c>
      <c r="I254" s="12">
        <v>395.8</v>
      </c>
      <c r="J254" s="12">
        <v>0</v>
      </c>
      <c r="K254" s="7">
        <f>$B254*'Janssen Payments'!I$22</f>
        <v>75.164500912578958</v>
      </c>
      <c r="L254" s="7">
        <f>$B254*'Janssen Payments'!J$22</f>
        <v>75.164500734454023</v>
      </c>
      <c r="M254" s="7">
        <f>$B254*'Janssen Payments'!K$22</f>
        <v>75.164499503410553</v>
      </c>
      <c r="N254" s="7">
        <f>$B254*'Janssen Payments'!L$22</f>
        <v>95.69755698626561</v>
      </c>
      <c r="O254" s="7">
        <f>$B254*'Janssen Payments'!M$22</f>
        <v>95.697557164390545</v>
      </c>
      <c r="P254" s="7">
        <f>$B254*'Janssen Payments'!N$22</f>
        <v>95.69755698626561</v>
      </c>
      <c r="Q254" s="7">
        <f>$B254*'Janssen Payments'!$O$22</f>
        <v>89.452691496473591</v>
      </c>
      <c r="R254" s="7">
        <v>0</v>
      </c>
      <c r="S254" s="7">
        <f t="shared" si="3"/>
        <v>1946.5088637838389</v>
      </c>
    </row>
    <row r="255" spans="1:19" customFormat="1" x14ac:dyDescent="0.35">
      <c r="A255" s="3" t="s">
        <v>254</v>
      </c>
      <c r="B255" s="6">
        <v>7.119460414312982E-5</v>
      </c>
      <c r="C255" s="8" t="s">
        <v>277</v>
      </c>
      <c r="D255" s="33" t="s">
        <v>336</v>
      </c>
      <c r="E255" s="12">
        <v>239.86</v>
      </c>
      <c r="F255" s="12">
        <v>684.51</v>
      </c>
      <c r="G255" s="12">
        <v>529.16</v>
      </c>
      <c r="H255" s="12">
        <v>862.68</v>
      </c>
      <c r="I255" s="12">
        <v>966.35</v>
      </c>
      <c r="J255" s="12">
        <v>0</v>
      </c>
      <c r="K255" s="7">
        <f>$B255*'Janssen Payments'!I$22</f>
        <v>183.51666415070167</v>
      </c>
      <c r="L255" s="7">
        <f>$B255*'Janssen Payments'!J$22</f>
        <v>183.51666371580365</v>
      </c>
      <c r="M255" s="7">
        <f>$B255*'Janssen Payments'!K$22</f>
        <v>183.5166607101695</v>
      </c>
      <c r="N255" s="7">
        <f>$B255*'Janssen Payments'!L$22</f>
        <v>233.6488131001756</v>
      </c>
      <c r="O255" s="7">
        <f>$B255*'Janssen Payments'!M$22</f>
        <v>233.64881353507366</v>
      </c>
      <c r="P255" s="7">
        <f>$B255*'Janssen Payments'!N$22</f>
        <v>233.6488131001756</v>
      </c>
      <c r="Q255" s="7">
        <f>$B255*'Janssen Payments'!$O$22</f>
        <v>218.40176337800179</v>
      </c>
      <c r="R255" s="7">
        <v>0</v>
      </c>
      <c r="S255" s="7">
        <f t="shared" si="3"/>
        <v>4752.4581916901016</v>
      </c>
    </row>
    <row r="256" spans="1:19" customFormat="1" x14ac:dyDescent="0.35">
      <c r="A256" s="3" t="s">
        <v>278</v>
      </c>
      <c r="B256" s="6">
        <v>6.9474875120000001E-4</v>
      </c>
      <c r="C256" s="8" t="s">
        <v>279</v>
      </c>
      <c r="D256" s="33" t="s">
        <v>336</v>
      </c>
      <c r="E256" s="13">
        <v>2270.83</v>
      </c>
      <c r="F256" s="13">
        <v>6480.43</v>
      </c>
      <c r="G256" s="13">
        <v>5009.7</v>
      </c>
      <c r="H256" s="13">
        <v>8167.22</v>
      </c>
      <c r="I256" s="13">
        <v>9148.65</v>
      </c>
      <c r="J256" s="12">
        <v>0</v>
      </c>
      <c r="K256" s="7">
        <f>$B256*'Janssen Payments'!I$22</f>
        <v>1790.8375891348105</v>
      </c>
      <c r="L256" s="7">
        <f>$B256*'Janssen Payments'!J$22</f>
        <v>1790.8375848908811</v>
      </c>
      <c r="M256" s="7">
        <f>$B256*'Janssen Payments'!K$22</f>
        <v>1790.8375555605605</v>
      </c>
      <c r="N256" s="7">
        <f>$B256*'Janssen Payments'!L$22</f>
        <v>2280.0494935594575</v>
      </c>
      <c r="O256" s="7">
        <f>$B256*'Janssen Payments'!M$22</f>
        <v>2280.0494978033871</v>
      </c>
      <c r="P256" s="7">
        <f>$B256*'Janssen Payments'!N$22</f>
        <v>2280.0494935594575</v>
      </c>
      <c r="Q256" s="7">
        <f>$B256*'Janssen Payments'!$O$22</f>
        <v>2131.2619712260425</v>
      </c>
      <c r="R256" s="7">
        <v>0</v>
      </c>
      <c r="S256" s="7">
        <f t="shared" si="3"/>
        <v>45420.753185734597</v>
      </c>
    </row>
    <row r="257" spans="1:19" customFormat="1" x14ac:dyDescent="0.35">
      <c r="A257" s="3" t="s">
        <v>22</v>
      </c>
      <c r="B257" s="6">
        <v>2.6987488049182509E-4</v>
      </c>
      <c r="C257" s="8" t="s">
        <v>280</v>
      </c>
      <c r="D257" s="33" t="s">
        <v>336</v>
      </c>
      <c r="E257" s="12">
        <v>909.23</v>
      </c>
      <c r="F257" s="13">
        <v>2594.75</v>
      </c>
      <c r="G257" s="13">
        <v>2005.87</v>
      </c>
      <c r="H257" s="13">
        <v>3270.14</v>
      </c>
      <c r="I257" s="13">
        <v>3663.1</v>
      </c>
      <c r="J257" s="12">
        <v>0</v>
      </c>
      <c r="K257" s="7">
        <f>$B257*'Janssen Payments'!I$22</f>
        <v>695.65016059869845</v>
      </c>
      <c r="L257" s="7">
        <f>$B257*'Janssen Payments'!J$22</f>
        <v>695.65015895014562</v>
      </c>
      <c r="M257" s="7">
        <f>$B257*'Janssen Payments'!K$22</f>
        <v>695.65014755679408</v>
      </c>
      <c r="N257" s="7">
        <f>$B257*'Janssen Payments'!L$22</f>
        <v>885.68433340395893</v>
      </c>
      <c r="O257" s="7">
        <f>$B257*'Janssen Payments'!M$22</f>
        <v>885.68433505251164</v>
      </c>
      <c r="P257" s="7">
        <f>$B257*'Janssen Payments'!N$22</f>
        <v>885.68433340395893</v>
      </c>
      <c r="Q257" s="7">
        <f>$B257*'Janssen Payments'!$O$22</f>
        <v>827.88787858622902</v>
      </c>
      <c r="R257" s="7">
        <v>0</v>
      </c>
      <c r="S257" s="7">
        <f t="shared" si="3"/>
        <v>18014.981347552297</v>
      </c>
    </row>
    <row r="258" spans="1:19" customFormat="1" x14ac:dyDescent="0.35">
      <c r="A258" s="3" t="s">
        <v>34</v>
      </c>
      <c r="B258" s="6">
        <v>1.3219118091483929E-3</v>
      </c>
      <c r="C258" s="8" t="s">
        <v>281</v>
      </c>
      <c r="D258" s="33" t="s">
        <v>336</v>
      </c>
      <c r="E258" s="13">
        <v>4453.6499999999996</v>
      </c>
      <c r="F258" s="13">
        <v>12709.7</v>
      </c>
      <c r="G258" s="13">
        <v>9825.25</v>
      </c>
      <c r="H258" s="13">
        <v>16017.91</v>
      </c>
      <c r="I258" s="13">
        <v>17942.73</v>
      </c>
      <c r="J258" s="12">
        <v>0</v>
      </c>
      <c r="K258" s="7">
        <f>$B258*'Janssen Payments'!I$22</f>
        <v>3407.4611192250295</v>
      </c>
      <c r="L258" s="7">
        <f>$B258*'Janssen Payments'!J$22</f>
        <v>3407.4611111500235</v>
      </c>
      <c r="M258" s="7">
        <f>$B258*'Janssen Payments'!K$22</f>
        <v>3407.4610553426587</v>
      </c>
      <c r="N258" s="7">
        <f>$B258*'Janssen Payments'!L$22</f>
        <v>4338.2940174748155</v>
      </c>
      <c r="O258" s="7">
        <f>$B258*'Janssen Payments'!M$22</f>
        <v>4338.2940255498224</v>
      </c>
      <c r="P258" s="7">
        <f>$B258*'Janssen Payments'!N$22</f>
        <v>4338.2940174748155</v>
      </c>
      <c r="Q258" s="7">
        <f>$B258*'Janssen Payments'!$O$22</f>
        <v>4055.1931374995006</v>
      </c>
      <c r="R258" s="7">
        <v>0</v>
      </c>
      <c r="S258" s="7">
        <f t="shared" si="3"/>
        <v>88241.698483716682</v>
      </c>
    </row>
    <row r="259" spans="1:19" customFormat="1" x14ac:dyDescent="0.35">
      <c r="A259" s="3" t="s">
        <v>282</v>
      </c>
      <c r="B259" s="6">
        <v>4.9641098763200005E-3</v>
      </c>
      <c r="C259" s="8" t="s">
        <v>282</v>
      </c>
      <c r="D259" s="33" t="s">
        <v>336</v>
      </c>
      <c r="E259" s="13">
        <v>16225.5</v>
      </c>
      <c r="F259" s="13">
        <v>46303.87</v>
      </c>
      <c r="G259" s="13">
        <v>35795.269999999997</v>
      </c>
      <c r="H259" s="13">
        <v>58356.31</v>
      </c>
      <c r="I259" s="13">
        <v>65368.82</v>
      </c>
      <c r="J259" s="12">
        <v>0</v>
      </c>
      <c r="K259" s="7">
        <f>$B259*'Janssen Payments'!I$22</f>
        <v>12795.869798620248</v>
      </c>
      <c r="L259" s="7">
        <f>$B259*'Janssen Payments'!J$22</f>
        <v>12795.869768296578</v>
      </c>
      <c r="M259" s="7">
        <f>$B259*'Janssen Payments'!K$22</f>
        <v>12795.869558725946</v>
      </c>
      <c r="N259" s="7">
        <f>$B259*'Janssen Payments'!L$22</f>
        <v>16291.380430590572</v>
      </c>
      <c r="O259" s="7">
        <f>$B259*'Janssen Payments'!M$22</f>
        <v>16291.380460914243</v>
      </c>
      <c r="P259" s="7">
        <f>$B259*'Janssen Payments'!N$22</f>
        <v>16291.380430590572</v>
      </c>
      <c r="Q259" s="7">
        <f>$B259*'Janssen Payments'!$O$22</f>
        <v>15228.265732201047</v>
      </c>
      <c r="R259" s="7">
        <v>0</v>
      </c>
      <c r="S259" s="7">
        <f t="shared" si="3"/>
        <v>324539.78617993923</v>
      </c>
    </row>
    <row r="260" spans="1:19" customFormat="1" x14ac:dyDescent="0.35">
      <c r="A260" s="3" t="s">
        <v>60</v>
      </c>
      <c r="B260" s="6">
        <v>5.3967269220409699E-5</v>
      </c>
      <c r="C260" s="8" t="s">
        <v>283</v>
      </c>
      <c r="D260" s="33" t="s">
        <v>336</v>
      </c>
      <c r="E260" s="12">
        <v>181.82</v>
      </c>
      <c r="F260" s="12">
        <v>518.88</v>
      </c>
      <c r="G260" s="12">
        <v>401.12</v>
      </c>
      <c r="H260" s="12">
        <v>653.92999999999995</v>
      </c>
      <c r="I260" s="12">
        <v>732.52</v>
      </c>
      <c r="J260" s="12">
        <v>0</v>
      </c>
      <c r="K260" s="7">
        <f>$B260*'Janssen Payments'!I$22</f>
        <v>139.11016628088294</v>
      </c>
      <c r="L260" s="7">
        <f>$B260*'Janssen Payments'!J$22</f>
        <v>139.11016595121947</v>
      </c>
      <c r="M260" s="7">
        <f>$B260*'Janssen Payments'!K$22</f>
        <v>139.11016367287453</v>
      </c>
      <c r="N260" s="7">
        <f>$B260*'Janssen Payments'!L$22</f>
        <v>177.11157399311355</v>
      </c>
      <c r="O260" s="7">
        <f>$B260*'Janssen Payments'!M$22</f>
        <v>177.11157432277702</v>
      </c>
      <c r="P260" s="7">
        <f>$B260*'Janssen Payments'!N$22</f>
        <v>177.11157399311355</v>
      </c>
      <c r="Q260" s="7">
        <f>$B260*'Janssen Payments'!$O$22</f>
        <v>165.5539335359901</v>
      </c>
      <c r="R260" s="7">
        <v>0</v>
      </c>
      <c r="S260" s="7">
        <f t="shared" ref="S260" si="4">SUM(E260:R260)</f>
        <v>3602.4891517499709</v>
      </c>
    </row>
    <row r="261" spans="1:19" customFormat="1" x14ac:dyDescent="0.35">
      <c r="A261" s="3" t="s">
        <v>168</v>
      </c>
      <c r="B261" s="6">
        <v>2.8690620536064817E-7</v>
      </c>
      <c r="C261" s="8" t="s">
        <v>284</v>
      </c>
      <c r="D261" s="33" t="s">
        <v>338</v>
      </c>
      <c r="E261" s="12">
        <f>0.97+7.09</f>
        <v>8.06</v>
      </c>
      <c r="F261" s="12">
        <v>2.76</v>
      </c>
      <c r="G261" s="12">
        <v>2.13</v>
      </c>
      <c r="H261" s="12">
        <v>3.48</v>
      </c>
      <c r="I261" s="12">
        <v>3.89</v>
      </c>
      <c r="J261" s="12">
        <v>0</v>
      </c>
      <c r="K261" s="51">
        <f>$B261*'Janssen Payments'!I$22</f>
        <v>0.73955140794196228</v>
      </c>
      <c r="L261" s="51">
        <f>$B261*'Janssen Payments'!J$22</f>
        <v>0.73955140618937232</v>
      </c>
      <c r="M261" s="51">
        <f>$B261*'Janssen Payments'!K$22</f>
        <v>0.73955139407700654</v>
      </c>
      <c r="N261" s="51">
        <f>$B261*'Janssen Payments'!L$22</f>
        <v>0.94157830021531896</v>
      </c>
      <c r="O261" s="51">
        <f>$B261*'Janssen Payments'!M$22</f>
        <v>0.94157830196790893</v>
      </c>
      <c r="P261" s="51">
        <f>$B261*'Janssen Payments'!N$22</f>
        <v>0.94157830021531896</v>
      </c>
      <c r="Q261" s="51">
        <f>$B261*'Janssen Payments'!$O$22</f>
        <v>0.88013441368229528</v>
      </c>
      <c r="R261" s="7">
        <v>0</v>
      </c>
      <c r="S261" s="7">
        <f>E261+F261+G261+H261+I261</f>
        <v>20.32</v>
      </c>
    </row>
    <row r="262" spans="1:19" customFormat="1" x14ac:dyDescent="0.35">
      <c r="A262" s="3" t="s">
        <v>22</v>
      </c>
      <c r="B262" s="6">
        <v>7.6929149136000007E-4</v>
      </c>
      <c r="C262" s="8" t="s">
        <v>285</v>
      </c>
      <c r="D262" s="33" t="s">
        <v>336</v>
      </c>
      <c r="E262" s="13">
        <v>2514.48</v>
      </c>
      <c r="F262" s="13">
        <v>7175.74</v>
      </c>
      <c r="G262" s="13">
        <v>5547.22</v>
      </c>
      <c r="H262" s="13">
        <v>9043.52</v>
      </c>
      <c r="I262" s="13">
        <v>10130.25</v>
      </c>
      <c r="J262" s="12">
        <v>0</v>
      </c>
      <c r="K262" s="7">
        <f>$B262*'Janssen Payments'!I$22</f>
        <v>1982.9846651030086</v>
      </c>
      <c r="L262" s="7">
        <f>$B262*'Janssen Payments'!J$22</f>
        <v>1982.9846604037289</v>
      </c>
      <c r="M262" s="7">
        <f>$B262*'Janssen Payments'!K$22</f>
        <v>1982.9846279264252</v>
      </c>
      <c r="N262" s="7">
        <f>$B262*'Janssen Payments'!L$22</f>
        <v>2524.6863304832782</v>
      </c>
      <c r="O262" s="7">
        <f>$B262*'Janssen Payments'!M$22</f>
        <v>2524.6863351825577</v>
      </c>
      <c r="P262" s="7">
        <f>$B262*'Janssen Payments'!N$22</f>
        <v>2524.6863304832782</v>
      </c>
      <c r="Q262" s="7">
        <f>$B262*'Janssen Payments'!$O$22</f>
        <v>2359.9347209928974</v>
      </c>
      <c r="R262" s="7">
        <v>0</v>
      </c>
      <c r="S262" s="7">
        <f t="shared" ref="S262:S282" si="5">SUM(E262:R262)</f>
        <v>50294.15767057518</v>
      </c>
    </row>
    <row r="263" spans="1:19" customFormat="1" x14ac:dyDescent="0.35">
      <c r="A263" s="3" t="s">
        <v>31</v>
      </c>
      <c r="B263" s="6">
        <v>4.2728705934373945E-3</v>
      </c>
      <c r="C263" s="8" t="s">
        <v>31</v>
      </c>
      <c r="D263" s="33" t="s">
        <v>336</v>
      </c>
      <c r="E263" s="13">
        <v>14395.72</v>
      </c>
      <c r="F263" s="13">
        <v>41082.089999999997</v>
      </c>
      <c r="G263" s="13">
        <v>31758.560000000001</v>
      </c>
      <c r="H263" s="13">
        <v>51775.35</v>
      </c>
      <c r="I263" s="13">
        <v>57997.04</v>
      </c>
      <c r="J263" s="12">
        <v>0</v>
      </c>
      <c r="K263" s="7">
        <f>$B263*'Janssen Payments'!I$22</f>
        <v>11014.078483796562</v>
      </c>
      <c r="L263" s="7">
        <f>$B263*'Janssen Payments'!J$22</f>
        <v>11014.078457695383</v>
      </c>
      <c r="M263" s="7">
        <f>$B263*'Janssen Payments'!K$22</f>
        <v>11014.078277306913</v>
      </c>
      <c r="N263" s="7">
        <f>$B263*'Janssen Payments'!L$22</f>
        <v>14022.848426549326</v>
      </c>
      <c r="O263" s="7">
        <f>$B263*'Janssen Payments'!M$22</f>
        <v>14022.848452650505</v>
      </c>
      <c r="P263" s="7">
        <f>$B263*'Janssen Payments'!N$22</f>
        <v>14022.848426549326</v>
      </c>
      <c r="Q263" s="7">
        <f>$B263*'Janssen Payments'!$O$22</f>
        <v>13107.769662102808</v>
      </c>
      <c r="R263" s="7">
        <v>0</v>
      </c>
      <c r="S263" s="7">
        <f t="shared" si="5"/>
        <v>285227.31018665084</v>
      </c>
    </row>
    <row r="264" spans="1:19" customFormat="1" x14ac:dyDescent="0.35">
      <c r="A264" s="3" t="s">
        <v>63</v>
      </c>
      <c r="B264" s="6">
        <v>4.8418224678596599E-5</v>
      </c>
      <c r="C264" s="8" t="s">
        <v>286</v>
      </c>
      <c r="D264" s="33" t="s">
        <v>336</v>
      </c>
      <c r="E264" s="12">
        <v>163.13</v>
      </c>
      <c r="F264" s="12">
        <v>465.52</v>
      </c>
      <c r="G264" s="12">
        <v>359.87</v>
      </c>
      <c r="H264" s="12">
        <v>586.69000000000005</v>
      </c>
      <c r="I264" s="12">
        <v>657.2</v>
      </c>
      <c r="J264" s="12">
        <v>0</v>
      </c>
      <c r="K264" s="7">
        <f>$B264*'Janssen Payments'!I$22</f>
        <v>124.80652409066974</v>
      </c>
      <c r="L264" s="7">
        <f>$B264*'Janssen Payments'!J$22</f>
        <v>124.80652379490307</v>
      </c>
      <c r="M264" s="7">
        <f>$B264*'Janssen Payments'!K$22</f>
        <v>124.80652175082304</v>
      </c>
      <c r="N264" s="7">
        <f>$B264*'Janssen Payments'!L$22</f>
        <v>158.90053557750417</v>
      </c>
      <c r="O264" s="7">
        <f>$B264*'Janssen Payments'!M$22</f>
        <v>158.90053587327085</v>
      </c>
      <c r="P264" s="7">
        <f>$B264*'Janssen Payments'!N$22</f>
        <v>158.90053557750417</v>
      </c>
      <c r="Q264" s="7">
        <f>$B264*'Janssen Payments'!$O$22</f>
        <v>148.53127953599582</v>
      </c>
      <c r="R264" s="7">
        <v>0</v>
      </c>
      <c r="S264" s="7">
        <f t="shared" si="5"/>
        <v>3232.062456200671</v>
      </c>
    </row>
    <row r="265" spans="1:19" customFormat="1" x14ac:dyDescent="0.35">
      <c r="A265" s="3" t="s">
        <v>14</v>
      </c>
      <c r="B265" s="6">
        <v>3.2325847532951906E-4</v>
      </c>
      <c r="C265" s="8" t="s">
        <v>287</v>
      </c>
      <c r="D265" s="33" t="s">
        <v>336</v>
      </c>
      <c r="E265" s="13">
        <v>1089.0899999999999</v>
      </c>
      <c r="F265" s="13">
        <v>3108.01</v>
      </c>
      <c r="G265" s="13">
        <v>2402.65</v>
      </c>
      <c r="H265" s="13">
        <v>3917</v>
      </c>
      <c r="I265" s="13">
        <v>4387.6899999999996</v>
      </c>
      <c r="J265" s="12">
        <v>0</v>
      </c>
      <c r="K265" s="7">
        <f>$B265*'Janssen Payments'!I$22</f>
        <v>833.25580308939539</v>
      </c>
      <c r="L265" s="7">
        <f>$B265*'Janssen Payments'!J$22</f>
        <v>833.2558011147446</v>
      </c>
      <c r="M265" s="7">
        <f>$B265*'Janssen Payments'!K$22</f>
        <v>833.25578746768917</v>
      </c>
      <c r="N265" s="7">
        <f>$B265*'Janssen Payments'!L$22</f>
        <v>1060.8803854498706</v>
      </c>
      <c r="O265" s="7">
        <f>$B265*'Janssen Payments'!M$22</f>
        <v>1060.8803874245214</v>
      </c>
      <c r="P265" s="7">
        <f>$B265*'Janssen Payments'!N$22</f>
        <v>1060.8803854498706</v>
      </c>
      <c r="Q265" s="7">
        <f>$B265*'Janssen Payments'!$O$22</f>
        <v>991.6512899898479</v>
      </c>
      <c r="R265" s="7">
        <v>0</v>
      </c>
      <c r="S265" s="7">
        <f t="shared" si="5"/>
        <v>21578.499839985936</v>
      </c>
    </row>
    <row r="266" spans="1:19" customFormat="1" x14ac:dyDescent="0.35">
      <c r="A266" s="3" t="s">
        <v>75</v>
      </c>
      <c r="B266" s="6">
        <v>1.2684338716680002E-2</v>
      </c>
      <c r="C266" s="8" t="s">
        <v>288</v>
      </c>
      <c r="D266" s="33" t="s">
        <v>336</v>
      </c>
      <c r="E266" s="13">
        <v>41459.56</v>
      </c>
      <c r="F266" s="13">
        <v>118316.07</v>
      </c>
      <c r="G266" s="13">
        <v>91464.39</v>
      </c>
      <c r="H266" s="13">
        <v>149112.57999999999</v>
      </c>
      <c r="I266" s="13">
        <v>167031.01</v>
      </c>
      <c r="J266" s="12">
        <v>0</v>
      </c>
      <c r="K266" s="7">
        <f>$B266*'Janssen Payments'!I$22</f>
        <v>32696.122919131849</v>
      </c>
      <c r="L266" s="7">
        <f>$B266*'Janssen Payments'!J$22</f>
        <v>32696.122841648532</v>
      </c>
      <c r="M266" s="7">
        <f>$B266*'Janssen Payments'!K$22</f>
        <v>32696.122306151748</v>
      </c>
      <c r="N266" s="7">
        <f>$B266*'Janssen Payments'!L$22</f>
        <v>41627.883486151499</v>
      </c>
      <c r="O266" s="7">
        <f>$B266*'Janssen Payments'!M$22</f>
        <v>41627.883563634816</v>
      </c>
      <c r="P266" s="7">
        <f>$B266*'Janssen Payments'!N$22</f>
        <v>41627.883486151499</v>
      </c>
      <c r="Q266" s="7">
        <f>$B266*'Janssen Payments'!$O$22</f>
        <v>38911.403137201109</v>
      </c>
      <c r="R266" s="7">
        <v>0</v>
      </c>
      <c r="S266" s="7">
        <f t="shared" si="5"/>
        <v>829267.03174007102</v>
      </c>
    </row>
    <row r="267" spans="1:19" customFormat="1" x14ac:dyDescent="0.35">
      <c r="A267" s="3" t="s">
        <v>75</v>
      </c>
      <c r="B267" s="6">
        <v>4.53026296796044E-4</v>
      </c>
      <c r="C267" s="8" t="s">
        <v>289</v>
      </c>
      <c r="D267" s="33" t="s">
        <v>336</v>
      </c>
      <c r="E267" s="13">
        <v>1526.29</v>
      </c>
      <c r="F267" s="13">
        <v>4355.68</v>
      </c>
      <c r="G267" s="13">
        <v>3367.17</v>
      </c>
      <c r="H267" s="13">
        <v>5489.42</v>
      </c>
      <c r="I267" s="13">
        <v>6149.07</v>
      </c>
      <c r="J267" s="12">
        <v>0</v>
      </c>
      <c r="K267" s="7">
        <f>$B267*'Janssen Payments'!I$22</f>
        <v>1167.7552781024683</v>
      </c>
      <c r="L267" s="7">
        <f>$B267*'Janssen Payments'!J$22</f>
        <v>1167.7552753351201</v>
      </c>
      <c r="M267" s="7">
        <f>$B267*'Janssen Payments'!K$22</f>
        <v>1167.7552562096357</v>
      </c>
      <c r="N267" s="7">
        <f>$B267*'Janssen Payments'!L$22</f>
        <v>1486.7567257873131</v>
      </c>
      <c r="O267" s="7">
        <f>$B267*'Janssen Payments'!M$22</f>
        <v>1486.7567285546611</v>
      </c>
      <c r="P267" s="7">
        <f>$B267*'Janssen Payments'!N$22</f>
        <v>1486.7567257873131</v>
      </c>
      <c r="Q267" s="7">
        <f>$B267*'Janssen Payments'!$O$22</f>
        <v>1389.7365294418842</v>
      </c>
      <c r="R267" s="7">
        <v>0</v>
      </c>
      <c r="S267" s="7">
        <f t="shared" si="5"/>
        <v>30240.902519218391</v>
      </c>
    </row>
    <row r="268" spans="1:19" customFormat="1" x14ac:dyDescent="0.35">
      <c r="A268" s="3" t="s">
        <v>28</v>
      </c>
      <c r="B268" s="6">
        <v>2.6615292034240005E-2</v>
      </c>
      <c r="C268" s="8" t="s">
        <v>28</v>
      </c>
      <c r="D268" s="33" t="s">
        <v>336</v>
      </c>
      <c r="E268" s="13">
        <v>86993.75</v>
      </c>
      <c r="F268" s="13">
        <v>248260.22</v>
      </c>
      <c r="G268" s="13">
        <v>191917.89</v>
      </c>
      <c r="H268" s="13">
        <v>312879.90999999997</v>
      </c>
      <c r="I268" s="13">
        <v>350477.8</v>
      </c>
      <c r="J268" s="12">
        <v>0</v>
      </c>
      <c r="K268" s="7">
        <f>$B268*'Janssen Payments'!I$22</f>
        <v>68605.615106742625</v>
      </c>
      <c r="L268" s="7">
        <f>$B268*'Janssen Payments'!J$22</f>
        <v>68605.614944160945</v>
      </c>
      <c r="M268" s="7">
        <f>$B268*'Janssen Payments'!K$22</f>
        <v>68605.613820538856</v>
      </c>
      <c r="N268" s="7">
        <f>$B268*'Janssen Payments'!L$22</f>
        <v>87346.948114393366</v>
      </c>
      <c r="O268" s="7">
        <f>$B268*'Janssen Payments'!M$22</f>
        <v>87346.948276975047</v>
      </c>
      <c r="P268" s="7">
        <f>$B268*'Janssen Payments'!N$22</f>
        <v>87346.948114393366</v>
      </c>
      <c r="Q268" s="7">
        <f>$B268*'Janssen Payments'!$O$22</f>
        <v>81647.012200705256</v>
      </c>
      <c r="R268" s="7">
        <v>0</v>
      </c>
      <c r="S268" s="7">
        <f t="shared" si="5"/>
        <v>1740034.2705779092</v>
      </c>
    </row>
    <row r="269" spans="1:19" customFormat="1" x14ac:dyDescent="0.35">
      <c r="A269" s="3" t="s">
        <v>34</v>
      </c>
      <c r="B269" s="6">
        <v>1.2244580209554681E-3</v>
      </c>
      <c r="C269" s="8" t="s">
        <v>290</v>
      </c>
      <c r="D269" s="33" t="s">
        <v>336</v>
      </c>
      <c r="E269" s="13">
        <v>4125.32</v>
      </c>
      <c r="F269" s="13">
        <v>11772.72</v>
      </c>
      <c r="G269" s="13">
        <v>9100.91</v>
      </c>
      <c r="H269" s="13">
        <v>14837.04</v>
      </c>
      <c r="I269" s="13">
        <v>16619.96</v>
      </c>
      <c r="J269" s="12">
        <v>0</v>
      </c>
      <c r="K269" s="7">
        <f>$B269*'Janssen Payments'!I$22</f>
        <v>3156.2567711811844</v>
      </c>
      <c r="L269" s="7">
        <f>$B269*'Janssen Payments'!J$22</f>
        <v>3156.2567637014827</v>
      </c>
      <c r="M269" s="7">
        <f>$B269*'Janssen Payments'!K$22</f>
        <v>3156.2567120083399</v>
      </c>
      <c r="N269" s="7">
        <f>$B269*'Janssen Payments'!L$22</f>
        <v>4018.4669432541914</v>
      </c>
      <c r="O269" s="7">
        <f>$B269*'Janssen Payments'!M$22</f>
        <v>4018.4669507338931</v>
      </c>
      <c r="P269" s="7">
        <f>$B269*'Janssen Payments'!N$22</f>
        <v>4018.4669432541914</v>
      </c>
      <c r="Q269" s="7">
        <f>$B269*'Janssen Payments'!$O$22</f>
        <v>3756.23678476227</v>
      </c>
      <c r="R269" s="7">
        <v>0</v>
      </c>
      <c r="S269" s="7">
        <f t="shared" si="5"/>
        <v>81736.357868895531</v>
      </c>
    </row>
    <row r="270" spans="1:19" customFormat="1" x14ac:dyDescent="0.35">
      <c r="A270" s="3" t="s">
        <v>22</v>
      </c>
      <c r="B270" s="6">
        <v>9.3847771248000008E-4</v>
      </c>
      <c r="C270" s="8" t="s">
        <v>291</v>
      </c>
      <c r="D270" s="33" t="s">
        <v>336</v>
      </c>
      <c r="E270" s="13">
        <v>3067.47</v>
      </c>
      <c r="F270" s="13">
        <v>8753.8700000000008</v>
      </c>
      <c r="G270" s="13">
        <v>6767.19</v>
      </c>
      <c r="H270" s="13">
        <v>11032.41</v>
      </c>
      <c r="I270" s="13">
        <v>12358.14</v>
      </c>
      <c r="J270" s="12">
        <v>0</v>
      </c>
      <c r="K270" s="7">
        <f>$B270*'Janssen Payments'!I$22</f>
        <v>2419.0920259612194</v>
      </c>
      <c r="L270" s="7">
        <f>$B270*'Janssen Payments'!J$22</f>
        <v>2419.0920202284519</v>
      </c>
      <c r="M270" s="7">
        <f>$B270*'Janssen Payments'!K$22</f>
        <v>2419.0919806085863</v>
      </c>
      <c r="N270" s="7">
        <f>$B270*'Janssen Payments'!L$22</f>
        <v>3079.9272821447316</v>
      </c>
      <c r="O270" s="7">
        <f>$B270*'Janssen Payments'!M$22</f>
        <v>3079.9272878774991</v>
      </c>
      <c r="P270" s="7">
        <f>$B270*'Janssen Payments'!N$22</f>
        <v>3079.9272821447316</v>
      </c>
      <c r="Q270" s="7">
        <f>$B270*'Janssen Payments'!$O$22</f>
        <v>2878.9427199359498</v>
      </c>
      <c r="R270" s="7">
        <v>0</v>
      </c>
      <c r="S270" s="7">
        <f t="shared" si="5"/>
        <v>61355.080598901171</v>
      </c>
    </row>
    <row r="271" spans="1:19" customFormat="1" x14ac:dyDescent="0.35">
      <c r="A271" s="3" t="s">
        <v>22</v>
      </c>
      <c r="B271" s="6">
        <v>0.11816208189432</v>
      </c>
      <c r="C271" s="8" t="s">
        <v>22</v>
      </c>
      <c r="D271" s="33" t="s">
        <v>336</v>
      </c>
      <c r="E271" s="13">
        <v>372902.24</v>
      </c>
      <c r="F271" s="13">
        <v>1064177.49</v>
      </c>
      <c r="G271" s="13">
        <v>822663.8</v>
      </c>
      <c r="H271" s="13">
        <v>1341172.43</v>
      </c>
      <c r="I271" s="13">
        <v>1502337.27</v>
      </c>
      <c r="J271" s="12">
        <v>0</v>
      </c>
      <c r="K271" s="7">
        <f>$B271*'Janssen Payments'!I$22</f>
        <v>304583.63185435557</v>
      </c>
      <c r="L271" s="7">
        <f>$B271*'Janssen Payments'!J$22</f>
        <v>304583.63113255287</v>
      </c>
      <c r="M271" s="7">
        <f>$B271*'Janssen Payments'!K$22</f>
        <v>304583.62614408508</v>
      </c>
      <c r="N271" s="7">
        <f>$B271*'Janssen Payments'!L$22</f>
        <v>387788.23929619096</v>
      </c>
      <c r="O271" s="7">
        <f>$B271*'Janssen Payments'!M$22</f>
        <v>387788.24001799367</v>
      </c>
      <c r="P271" s="7">
        <f>$B271*'Janssen Payments'!N$22</f>
        <v>387788.23929619096</v>
      </c>
      <c r="Q271" s="7">
        <f>$B271*'Janssen Payments'!$O$22</f>
        <v>362482.6257654762</v>
      </c>
      <c r="R271" s="10">
        <f>'Janssen Payments'!P22</f>
        <v>182260.76</v>
      </c>
      <c r="S271" s="7">
        <f t="shared" si="5"/>
        <v>7725112.2235068455</v>
      </c>
    </row>
    <row r="272" spans="1:19" customFormat="1" x14ac:dyDescent="0.35">
      <c r="A272" s="3" t="s">
        <v>34</v>
      </c>
      <c r="B272" s="6">
        <v>1.4689236543824534E-3</v>
      </c>
      <c r="C272" s="8" t="s">
        <v>292</v>
      </c>
      <c r="D272" s="33" t="s">
        <v>336</v>
      </c>
      <c r="E272" s="13">
        <v>4948.95</v>
      </c>
      <c r="F272" s="13">
        <v>14123.16</v>
      </c>
      <c r="G272" s="13">
        <v>10917.93</v>
      </c>
      <c r="H272" s="13">
        <v>17799.28</v>
      </c>
      <c r="I272" s="13">
        <v>19938.169999999998</v>
      </c>
      <c r="J272" s="12">
        <v>0</v>
      </c>
      <c r="K272" s="7">
        <f>$B272*'Janssen Payments'!I$22</f>
        <v>3786.4101105524501</v>
      </c>
      <c r="L272" s="7">
        <f>$B272*'Janssen Payments'!J$22</f>
        <v>3786.4101015794099</v>
      </c>
      <c r="M272" s="7">
        <f>$B272*'Janssen Payments'!K$22</f>
        <v>3786.4100395656219</v>
      </c>
      <c r="N272" s="7">
        <f>$B272*'Janssen Payments'!L$22</f>
        <v>4820.7623669237337</v>
      </c>
      <c r="O272" s="7">
        <f>$B272*'Janssen Payments'!M$22</f>
        <v>4820.7623758967738</v>
      </c>
      <c r="P272" s="7">
        <f>$B272*'Janssen Payments'!N$22</f>
        <v>4820.7623669237337</v>
      </c>
      <c r="Q272" s="7">
        <f>$B272*'Janssen Payments'!$O$22</f>
        <v>4506.177402711839</v>
      </c>
      <c r="R272" s="7">
        <v>0</v>
      </c>
      <c r="S272" s="7">
        <f t="shared" si="5"/>
        <v>98055.184764153557</v>
      </c>
    </row>
    <row r="273" spans="1:19" customFormat="1" x14ac:dyDescent="0.35">
      <c r="A273" s="3" t="s">
        <v>22</v>
      </c>
      <c r="B273" s="6">
        <v>3.6531164913600001E-3</v>
      </c>
      <c r="C273" s="8" t="s">
        <v>293</v>
      </c>
      <c r="D273" s="33" t="s">
        <v>336</v>
      </c>
      <c r="E273" s="13">
        <v>11940.44</v>
      </c>
      <c r="F273" s="13">
        <v>34075.279999999999</v>
      </c>
      <c r="G273" s="13">
        <v>26341.94</v>
      </c>
      <c r="H273" s="13">
        <v>42944.74</v>
      </c>
      <c r="I273" s="13">
        <v>48105.29</v>
      </c>
      <c r="J273" s="12">
        <v>0</v>
      </c>
      <c r="K273" s="7">
        <f>$B273*'Janssen Payments'!I$22</f>
        <v>9416.5528457818709</v>
      </c>
      <c r="L273" s="7">
        <f>$B273*'Janssen Payments'!J$22</f>
        <v>9416.5528234665107</v>
      </c>
      <c r="M273" s="7">
        <f>$B273*'Janssen Payments'!K$22</f>
        <v>9416.5526692422991</v>
      </c>
      <c r="N273" s="7">
        <f>$B273*'Janssen Payments'!L$22</f>
        <v>11988.918859735073</v>
      </c>
      <c r="O273" s="7">
        <f>$B273*'Janssen Payments'!M$22</f>
        <v>11988.918882050433</v>
      </c>
      <c r="P273" s="7">
        <f>$B273*'Janssen Payments'!N$22</f>
        <v>11988.918859735073</v>
      </c>
      <c r="Q273" s="7">
        <f>$B273*'Janssen Payments'!$O$22</f>
        <v>11206.566749557158</v>
      </c>
      <c r="R273" s="7">
        <v>0</v>
      </c>
      <c r="S273" s="7">
        <f t="shared" si="5"/>
        <v>238830.67168956841</v>
      </c>
    </row>
    <row r="274" spans="1:19" customFormat="1" x14ac:dyDescent="0.35">
      <c r="A274" s="3" t="s">
        <v>66</v>
      </c>
      <c r="B274" s="6">
        <v>3.3453814497600002E-3</v>
      </c>
      <c r="C274" s="8" t="s">
        <v>66</v>
      </c>
      <c r="D274" s="33" t="s">
        <v>336</v>
      </c>
      <c r="E274" s="13">
        <v>10934.59</v>
      </c>
      <c r="F274" s="13">
        <v>31204.81</v>
      </c>
      <c r="G274" s="13">
        <v>24122.92</v>
      </c>
      <c r="H274" s="13">
        <v>39327.120000000003</v>
      </c>
      <c r="I274" s="13">
        <v>44052.94</v>
      </c>
      <c r="J274" s="12">
        <v>0</v>
      </c>
      <c r="K274" s="7">
        <f>$B274*'Janssen Payments'!I$22</f>
        <v>8623.3114343516881</v>
      </c>
      <c r="L274" s="7">
        <f>$B274*'Janssen Payments'!J$22</f>
        <v>8623.3114139161535</v>
      </c>
      <c r="M274" s="7">
        <f>$B274*'Janssen Payments'!K$22</f>
        <v>8623.3112726836425</v>
      </c>
      <c r="N274" s="7">
        <f>$B274*'Janssen Payments'!L$22</f>
        <v>10978.983793945237</v>
      </c>
      <c r="O274" s="7">
        <f>$B274*'Janssen Payments'!M$22</f>
        <v>10978.983814380774</v>
      </c>
      <c r="P274" s="7">
        <f>$B274*'Janssen Payments'!N$22</f>
        <v>10978.983793945237</v>
      </c>
      <c r="Q274" s="7">
        <f>$B274*'Janssen Payments'!$O$22</f>
        <v>10262.536277760113</v>
      </c>
      <c r="R274" s="7">
        <v>0</v>
      </c>
      <c r="S274" s="7">
        <f t="shared" si="5"/>
        <v>218711.80180098282</v>
      </c>
    </row>
    <row r="275" spans="1:19" customFormat="1" x14ac:dyDescent="0.35">
      <c r="A275" s="3" t="s">
        <v>34</v>
      </c>
      <c r="B275" s="6">
        <v>3.278935568000227E-4</v>
      </c>
      <c r="C275" s="8" t="s">
        <v>294</v>
      </c>
      <c r="D275" s="33" t="s">
        <v>336</v>
      </c>
      <c r="E275" s="13">
        <v>1104.71</v>
      </c>
      <c r="F275" s="13">
        <v>3152.58</v>
      </c>
      <c r="G275" s="13">
        <v>2437.1</v>
      </c>
      <c r="H275" s="13">
        <v>3973.16</v>
      </c>
      <c r="I275" s="13">
        <v>4450.6000000000004</v>
      </c>
      <c r="J275" s="12">
        <v>0</v>
      </c>
      <c r="K275" s="7">
        <f>$B275*'Janssen Payments'!I$22</f>
        <v>845.20354407020739</v>
      </c>
      <c r="L275" s="7">
        <f>$B275*'Janssen Payments'!J$22</f>
        <v>845.20354206724278</v>
      </c>
      <c r="M275" s="7">
        <f>$B275*'Janssen Payments'!K$22</f>
        <v>845.20352822450741</v>
      </c>
      <c r="N275" s="7">
        <f>$B275*'Janssen Payments'!L$22</f>
        <v>1076.0919495457756</v>
      </c>
      <c r="O275" s="7">
        <f>$B275*'Janssen Payments'!M$22</f>
        <v>1076.0919515487401</v>
      </c>
      <c r="P275" s="7">
        <f>$B275*'Janssen Payments'!N$22</f>
        <v>1076.0919495457756</v>
      </c>
      <c r="Q275" s="7">
        <f>$B275*'Janssen Payments'!$O$22</f>
        <v>1005.8702041722141</v>
      </c>
      <c r="R275" s="7">
        <v>0</v>
      </c>
      <c r="S275" s="7">
        <f t="shared" si="5"/>
        <v>21887.906669174463</v>
      </c>
    </row>
    <row r="276" spans="1:19" customFormat="1" x14ac:dyDescent="0.35">
      <c r="A276" s="3" t="s">
        <v>34</v>
      </c>
      <c r="B276" s="6">
        <v>2.0690748366341459E-4</v>
      </c>
      <c r="C276" s="8" t="s">
        <v>295</v>
      </c>
      <c r="D276" s="33" t="s">
        <v>336</v>
      </c>
      <c r="E276" s="12">
        <v>697.09</v>
      </c>
      <c r="F276" s="13">
        <v>1989.34</v>
      </c>
      <c r="G276" s="13">
        <v>1537.86</v>
      </c>
      <c r="H276" s="13">
        <v>2507.15</v>
      </c>
      <c r="I276" s="13">
        <v>2808.42</v>
      </c>
      <c r="J276" s="12">
        <v>0</v>
      </c>
      <c r="K276" s="7">
        <f>$B276*'Janssen Payments'!I$22</f>
        <v>533.34057611148046</v>
      </c>
      <c r="L276" s="7">
        <f>$B276*'Janssen Payments'!J$22</f>
        <v>533.3405748475692</v>
      </c>
      <c r="M276" s="7">
        <f>$B276*'Janssen Payments'!K$22</f>
        <v>533.34056611252242</v>
      </c>
      <c r="N276" s="7">
        <f>$B276*'Janssen Payments'!L$22</f>
        <v>679.03584213082377</v>
      </c>
      <c r="O276" s="7">
        <f>$B276*'Janssen Payments'!M$22</f>
        <v>679.03584339473502</v>
      </c>
      <c r="P276" s="7">
        <f>$B276*'Janssen Payments'!N$22</f>
        <v>679.03584213082377</v>
      </c>
      <c r="Q276" s="7">
        <f>$B276*'Janssen Payments'!$O$22</f>
        <v>634.72449677993632</v>
      </c>
      <c r="R276" s="7">
        <v>0</v>
      </c>
      <c r="S276" s="7">
        <f t="shared" si="5"/>
        <v>13811.713741507892</v>
      </c>
    </row>
    <row r="277" spans="1:19" customFormat="1" x14ac:dyDescent="0.35">
      <c r="A277" s="3" t="s">
        <v>22</v>
      </c>
      <c r="B277" s="6">
        <v>3.2032800110501065E-4</v>
      </c>
      <c r="C277" s="8" t="s">
        <v>296</v>
      </c>
      <c r="D277" s="33" t="s">
        <v>336</v>
      </c>
      <c r="E277" s="13">
        <v>1079.22</v>
      </c>
      <c r="F277" s="13">
        <v>3079.84</v>
      </c>
      <c r="G277" s="13">
        <v>2380.87</v>
      </c>
      <c r="H277" s="13">
        <v>3881.49</v>
      </c>
      <c r="I277" s="13">
        <v>4347.91</v>
      </c>
      <c r="J277" s="12">
        <v>0</v>
      </c>
      <c r="K277" s="7">
        <f>$B277*'Janssen Payments'!I$22</f>
        <v>825.70198829494518</v>
      </c>
      <c r="L277" s="7">
        <f>$B277*'Janssen Payments'!J$22</f>
        <v>825.70198633819552</v>
      </c>
      <c r="M277" s="7">
        <f>$B277*'Janssen Payments'!K$22</f>
        <v>825.70197281485639</v>
      </c>
      <c r="N277" s="7">
        <f>$B277*'Janssen Payments'!L$22</f>
        <v>1051.2630579484701</v>
      </c>
      <c r="O277" s="7">
        <f>$B277*'Janssen Payments'!M$22</f>
        <v>1051.26305990522</v>
      </c>
      <c r="P277" s="7">
        <f>$B277*'Janssen Payments'!N$22</f>
        <v>1051.2630579484701</v>
      </c>
      <c r="Q277" s="7">
        <f>$B277*'Janssen Payments'!$O$22</f>
        <v>982.66155339576949</v>
      </c>
      <c r="R277" s="7">
        <v>0</v>
      </c>
      <c r="S277" s="7">
        <f t="shared" si="5"/>
        <v>21382.886676645921</v>
      </c>
    </row>
    <row r="278" spans="1:19" customFormat="1" x14ac:dyDescent="0.35">
      <c r="A278" s="3" t="s">
        <v>22</v>
      </c>
      <c r="B278" s="6">
        <v>5.4707534613408662E-4</v>
      </c>
      <c r="C278" s="8" t="s">
        <v>297</v>
      </c>
      <c r="D278" s="33" t="s">
        <v>336</v>
      </c>
      <c r="E278" s="13">
        <v>1843.15</v>
      </c>
      <c r="F278" s="13">
        <v>5259.93</v>
      </c>
      <c r="G278" s="13">
        <v>4066.2</v>
      </c>
      <c r="H278" s="13">
        <v>6629.04</v>
      </c>
      <c r="I278" s="13">
        <v>7425.63</v>
      </c>
      <c r="J278" s="12">
        <v>0</v>
      </c>
      <c r="K278" s="7">
        <f>$B278*'Janssen Payments'!I$22</f>
        <v>1410.1833105185719</v>
      </c>
      <c r="L278" s="7">
        <f>$B278*'Janssen Payments'!J$22</f>
        <v>1410.1833071767176</v>
      </c>
      <c r="M278" s="7">
        <f>$B278*'Janssen Payments'!K$22</f>
        <v>1410.183284080749</v>
      </c>
      <c r="N278" s="7">
        <f>$B278*'Janssen Payments'!L$22</f>
        <v>1795.4100151132291</v>
      </c>
      <c r="O278" s="7">
        <f>$B278*'Janssen Payments'!M$22</f>
        <v>1795.4100184550834</v>
      </c>
      <c r="P278" s="7">
        <f>$B278*'Janssen Payments'!N$22</f>
        <v>1795.4100151132291</v>
      </c>
      <c r="Q278" s="7">
        <f>$B278*'Janssen Payments'!$O$22</f>
        <v>1678.2482567935604</v>
      </c>
      <c r="R278" s="7">
        <v>0</v>
      </c>
      <c r="S278" s="7">
        <f t="shared" si="5"/>
        <v>36518.978207251137</v>
      </c>
    </row>
    <row r="279" spans="1:19" customFormat="1" x14ac:dyDescent="0.35">
      <c r="A279" s="3" t="s">
        <v>14</v>
      </c>
      <c r="B279" s="6">
        <v>1.4307162611163703E-3</v>
      </c>
      <c r="C279" s="8" t="s">
        <v>298</v>
      </c>
      <c r="D279" s="33" t="s">
        <v>336</v>
      </c>
      <c r="E279" s="13">
        <v>4820.22</v>
      </c>
      <c r="F279" s="13">
        <v>13755.81</v>
      </c>
      <c r="G279" s="13">
        <v>10633.95</v>
      </c>
      <c r="H279" s="13">
        <v>17336.32</v>
      </c>
      <c r="I279" s="13">
        <v>19419.57</v>
      </c>
      <c r="J279" s="12">
        <v>0</v>
      </c>
      <c r="K279" s="7">
        <f>$B279*'Janssen Payments'!I$22</f>
        <v>3687.9238075176127</v>
      </c>
      <c r="L279" s="7">
        <f>$B279*'Janssen Payments'!J$22</f>
        <v>3687.9237987779661</v>
      </c>
      <c r="M279" s="7">
        <f>$B279*'Janssen Payments'!K$22</f>
        <v>3687.9237383771856</v>
      </c>
      <c r="N279" s="7">
        <f>$B279*'Janssen Payments'!L$22</f>
        <v>4695.3720765258149</v>
      </c>
      <c r="O279" s="7">
        <f>$B279*'Janssen Payments'!M$22</f>
        <v>4695.3720852654615</v>
      </c>
      <c r="P279" s="7">
        <f>$B279*'Janssen Payments'!N$22</f>
        <v>4695.3720765258149</v>
      </c>
      <c r="Q279" s="7">
        <f>$B279*'Janssen Payments'!$O$22</f>
        <v>4388.9696147927798</v>
      </c>
      <c r="R279" s="7">
        <v>0</v>
      </c>
      <c r="S279" s="7">
        <f t="shared" si="5"/>
        <v>95504.727197782631</v>
      </c>
    </row>
    <row r="280" spans="1:19" customFormat="1" x14ac:dyDescent="0.35">
      <c r="A280" s="3" t="s">
        <v>28</v>
      </c>
      <c r="B280" s="6">
        <v>3.2417317939293158E-4</v>
      </c>
      <c r="C280" s="8" t="s">
        <v>299</v>
      </c>
      <c r="D280" s="33" t="s">
        <v>336</v>
      </c>
      <c r="E280" s="13">
        <v>1092.17</v>
      </c>
      <c r="F280" s="13">
        <v>3116.81</v>
      </c>
      <c r="G280" s="13">
        <v>2409.4499999999998</v>
      </c>
      <c r="H280" s="13">
        <v>3928.08</v>
      </c>
      <c r="I280" s="13">
        <v>4400.1099999999997</v>
      </c>
      <c r="J280" s="12">
        <v>0</v>
      </c>
      <c r="K280" s="7">
        <f>$B280*'Janssen Payments'!I$22</f>
        <v>835.6136143367911</v>
      </c>
      <c r="L280" s="7">
        <f>$B280*'Janssen Payments'!J$22</f>
        <v>835.61361235655284</v>
      </c>
      <c r="M280" s="7">
        <f>$B280*'Janssen Payments'!K$22</f>
        <v>835.61359867088117</v>
      </c>
      <c r="N280" s="7">
        <f>$B280*'Janssen Payments'!L$22</f>
        <v>1063.8822915820347</v>
      </c>
      <c r="O280" s="7">
        <f>$B280*'Janssen Payments'!M$22</f>
        <v>1063.8822935622729</v>
      </c>
      <c r="P280" s="7">
        <f>$B280*'Janssen Payments'!N$22</f>
        <v>1063.8822915820347</v>
      </c>
      <c r="Q280" s="7">
        <f>$B280*'Janssen Payments'!$O$22</f>
        <v>994.45730292892813</v>
      </c>
      <c r="R280" s="7">
        <v>0</v>
      </c>
      <c r="S280" s="7">
        <f t="shared" si="5"/>
        <v>21639.565005019493</v>
      </c>
    </row>
    <row r="281" spans="1:19" customFormat="1" x14ac:dyDescent="0.35">
      <c r="A281" s="3" t="s">
        <v>28</v>
      </c>
      <c r="B281" s="6">
        <v>5.032911415654228E-4</v>
      </c>
      <c r="C281" s="8" t="s">
        <v>300</v>
      </c>
      <c r="D281" s="33" t="s">
        <v>336</v>
      </c>
      <c r="E281" s="13">
        <v>1695.64</v>
      </c>
      <c r="F281" s="13">
        <v>4838.96</v>
      </c>
      <c r="G281" s="13">
        <v>3740.76</v>
      </c>
      <c r="H281" s="13">
        <v>6098.49</v>
      </c>
      <c r="I281" s="13">
        <v>6831.33</v>
      </c>
      <c r="J281" s="12">
        <v>0</v>
      </c>
      <c r="K281" s="7">
        <f>$B281*'Janssen Payments'!I$22</f>
        <v>1297.3217915644213</v>
      </c>
      <c r="L281" s="7">
        <f>$B281*'Janssen Payments'!J$22</f>
        <v>1297.3217884900264</v>
      </c>
      <c r="M281" s="7">
        <f>$B281*'Janssen Payments'!K$22</f>
        <v>1297.3217672425026</v>
      </c>
      <c r="N281" s="7">
        <f>$B281*'Janssen Payments'!L$22</f>
        <v>1651.7175604233075</v>
      </c>
      <c r="O281" s="7">
        <f>$B281*'Janssen Payments'!M$22</f>
        <v>1651.7175634977025</v>
      </c>
      <c r="P281" s="7">
        <f>$B281*'Janssen Payments'!N$22</f>
        <v>1651.7175604233075</v>
      </c>
      <c r="Q281" s="7">
        <f>$B281*'Janssen Payments'!$O$22</f>
        <v>1543.9326355327867</v>
      </c>
      <c r="R281" s="7">
        <v>0</v>
      </c>
      <c r="S281" s="7">
        <f t="shared" si="5"/>
        <v>33596.230667174052</v>
      </c>
    </row>
    <row r="282" spans="1:19" customFormat="1" x14ac:dyDescent="0.35">
      <c r="A282" s="3" t="s">
        <v>24</v>
      </c>
      <c r="B282" s="6">
        <v>3.4449877760457053E-5</v>
      </c>
      <c r="C282" s="8" t="s">
        <v>301</v>
      </c>
      <c r="D282" s="33" t="s">
        <v>336</v>
      </c>
      <c r="E282" s="12">
        <v>116.07</v>
      </c>
      <c r="F282" s="12">
        <v>331.22</v>
      </c>
      <c r="G282" s="12">
        <v>256.05</v>
      </c>
      <c r="H282" s="12">
        <v>417.44</v>
      </c>
      <c r="I282" s="12">
        <v>467.6</v>
      </c>
      <c r="J282" s="12">
        <v>0</v>
      </c>
      <c r="K282" s="7">
        <f>$B282*'Janssen Payments'!I$22</f>
        <v>88.800643294378091</v>
      </c>
      <c r="L282" s="7">
        <f>$B282*'Janssen Payments'!J$22</f>
        <v>88.800643083938212</v>
      </c>
      <c r="M282" s="7">
        <f>$B282*'Janssen Payments'!K$22</f>
        <v>88.800641629562136</v>
      </c>
      <c r="N282" s="7">
        <f>$B282*'Janssen Payments'!L$22</f>
        <v>113.05875139069313</v>
      </c>
      <c r="O282" s="7">
        <f>$B282*'Janssen Payments'!M$22</f>
        <v>113.05875160113303</v>
      </c>
      <c r="P282" s="7">
        <f>$B282*'Janssen Payments'!N$22</f>
        <v>113.05875139069313</v>
      </c>
      <c r="Q282" s="7">
        <f>$B282*'Janssen Payments'!$O$22</f>
        <v>105.68095913440759</v>
      </c>
      <c r="R282" s="7">
        <v>0</v>
      </c>
      <c r="S282" s="7">
        <f t="shared" si="5"/>
        <v>2299.6391415248049</v>
      </c>
    </row>
    <row r="283" spans="1:19" x14ac:dyDescent="0.35">
      <c r="A283" s="8" t="s">
        <v>270</v>
      </c>
      <c r="C283" s="8" t="s">
        <v>270</v>
      </c>
      <c r="E283" s="7">
        <f>'Janssen Payments'!C15</f>
        <v>5461993.533752379</v>
      </c>
      <c r="F283" s="7">
        <f>'Janssen Payments'!D15</f>
        <v>11198576.5302015</v>
      </c>
      <c r="G283" s="7">
        <f>'Janssen Payments'!E15</f>
        <v>10124772.927068438</v>
      </c>
      <c r="H283" s="7">
        <f>'Janssen Payments'!F15</f>
        <v>13762669.319732007</v>
      </c>
      <c r="I283" s="7">
        <f>'Janssen Payments'!G15</f>
        <v>15254442.748766297</v>
      </c>
      <c r="J283" s="7">
        <f>'Janssen Payments'!H15</f>
        <v>1078605.3799999999</v>
      </c>
      <c r="K283" s="7">
        <f>'Janssen Payments'!I15</f>
        <v>2722821.7523547076</v>
      </c>
      <c r="L283" s="7">
        <f>'Janssen Payments'!J15</f>
        <v>2722821.7253445899</v>
      </c>
      <c r="M283" s="7">
        <f>'Janssen Payments'!K15</f>
        <v>2722821.7013243553</v>
      </c>
      <c r="N283" s="7">
        <f>'Janssen Payments'!L15</f>
        <v>3466628.3273826553</v>
      </c>
      <c r="O283" s="7">
        <f>'Janssen Payments'!M15</f>
        <v>3466628.354392773</v>
      </c>
      <c r="P283" s="7">
        <f>'Janssen Payments'!N15</f>
        <v>3466628.3273826553</v>
      </c>
      <c r="Q283" s="7">
        <f>'Janssen Payments'!O15</f>
        <v>0</v>
      </c>
      <c r="R283" s="7">
        <f>'Janssen Payments'!P15</f>
        <v>0</v>
      </c>
      <c r="S283" s="7">
        <f>'Janssen Payments'!Q15</f>
        <v>75449410.62770237</v>
      </c>
    </row>
    <row r="285" spans="1:19" x14ac:dyDescent="0.35">
      <c r="B285" s="3" t="s">
        <v>340</v>
      </c>
    </row>
    <row r="286" spans="1:19" x14ac:dyDescent="0.35">
      <c r="B286" s="3" t="s">
        <v>341</v>
      </c>
    </row>
  </sheetData>
  <sheetProtection algorithmName="SHA-512" hashValue="MrslNE80b2L7HDJlkmjYzYWynfIK5Td9Bh2UnNxyFcTlLhZWsm6FjkeOdxoFVfhufRm/tuoMKqt71WWB1NV9kQ==" saltValue="wBIa3ePLtcgyiWGwtFbn2w==" spinCount="100000" sheet="1" sort="0" autoFilter="0" pivotTables="0"/>
  <autoFilter ref="A3:S283" xr:uid="{8DFCCB26-121B-4314-95E3-1097F7AA2AE3}"/>
  <mergeCells count="1">
    <mergeCell ref="A1:C1"/>
  </mergeCells>
  <phoneticPr fontId="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DC26-ED87-4A28-BBA9-EF351ADB06A7}">
  <sheetPr codeName="Sheet18"/>
  <dimension ref="A1:S285"/>
  <sheetViews>
    <sheetView zoomScaleNormal="100" workbookViewId="0">
      <pane ySplit="3" topLeftCell="A4" activePane="bottomLeft" state="frozen"/>
      <selection activeCell="A12" sqref="A12:L22"/>
      <selection pane="bottomLeft" activeCell="C10" sqref="C10"/>
    </sheetView>
  </sheetViews>
  <sheetFormatPr defaultRowHeight="18" x14ac:dyDescent="0.35"/>
  <cols>
    <col min="1" max="1" width="23.44140625" customWidth="1"/>
    <col min="2" max="2" width="30.109375" customWidth="1"/>
    <col min="3" max="3" width="42.6640625" customWidth="1"/>
    <col min="4" max="4" width="27" customWidth="1"/>
    <col min="5" max="5" width="18.6640625" style="4" customWidth="1"/>
    <col min="6" max="6" width="16.44140625" bestFit="1" customWidth="1"/>
    <col min="7" max="7" width="18.44140625" customWidth="1"/>
    <col min="8" max="9" width="17.88671875" style="2" bestFit="1" customWidth="1"/>
    <col min="10" max="11" width="16" style="2" customWidth="1"/>
    <col min="12" max="15" width="17.88671875" style="2" bestFit="1" customWidth="1"/>
    <col min="16" max="16" width="22.109375" style="3" customWidth="1"/>
  </cols>
  <sheetData>
    <row r="1" spans="1:16" s="3" customFormat="1" ht="25.8" x14ac:dyDescent="0.5">
      <c r="A1" s="111" t="s">
        <v>423</v>
      </c>
      <c r="B1" s="112"/>
      <c r="C1" s="112"/>
      <c r="D1" s="46"/>
      <c r="E1" s="5">
        <v>2025</v>
      </c>
      <c r="F1" s="5">
        <v>2025</v>
      </c>
      <c r="G1" s="5">
        <v>2026</v>
      </c>
      <c r="H1" s="5">
        <v>2027</v>
      </c>
      <c r="I1" s="5">
        <v>2028</v>
      </c>
      <c r="J1" s="5">
        <v>2029</v>
      </c>
      <c r="K1" s="5">
        <v>2030</v>
      </c>
      <c r="L1" s="5">
        <v>2031</v>
      </c>
      <c r="M1" s="5">
        <v>2032</v>
      </c>
      <c r="N1" s="5">
        <v>2033</v>
      </c>
      <c r="O1" s="5">
        <v>2034</v>
      </c>
    </row>
    <row r="2" spans="1:16" s="11" customFormat="1" ht="17.399999999999999" x14ac:dyDescent="0.3">
      <c r="E2" s="15" t="s">
        <v>309</v>
      </c>
      <c r="F2" s="15" t="s">
        <v>309</v>
      </c>
      <c r="G2" s="15" t="s">
        <v>309</v>
      </c>
      <c r="H2" s="15" t="s">
        <v>309</v>
      </c>
      <c r="I2" s="15" t="s">
        <v>309</v>
      </c>
      <c r="J2" s="15" t="s">
        <v>309</v>
      </c>
      <c r="K2" s="15" t="s">
        <v>309</v>
      </c>
      <c r="L2" s="15" t="s">
        <v>309</v>
      </c>
      <c r="M2" s="15" t="s">
        <v>309</v>
      </c>
      <c r="N2" s="15" t="s">
        <v>309</v>
      </c>
      <c r="O2" s="15" t="s">
        <v>309</v>
      </c>
    </row>
    <row r="3" spans="1:16" s="1" customFormat="1" ht="34.799999999999997" x14ac:dyDescent="0.3">
      <c r="A3" s="11" t="s">
        <v>3</v>
      </c>
      <c r="B3" s="11" t="s">
        <v>310</v>
      </c>
      <c r="C3" s="11" t="s">
        <v>4</v>
      </c>
      <c r="D3" s="32" t="s">
        <v>317</v>
      </c>
      <c r="E3" s="18" t="s">
        <v>311</v>
      </c>
      <c r="F3" s="11" t="s">
        <v>312</v>
      </c>
      <c r="G3" s="11" t="s">
        <v>313</v>
      </c>
      <c r="H3" s="15" t="s">
        <v>314</v>
      </c>
      <c r="I3" s="15" t="s">
        <v>315</v>
      </c>
      <c r="J3" s="15" t="s">
        <v>321</v>
      </c>
      <c r="K3" s="15" t="s">
        <v>322</v>
      </c>
      <c r="L3" s="15" t="s">
        <v>323</v>
      </c>
      <c r="M3" s="15" t="s">
        <v>324</v>
      </c>
      <c r="N3" s="15" t="s">
        <v>325</v>
      </c>
      <c r="O3" s="15" t="s">
        <v>326</v>
      </c>
      <c r="P3" s="15" t="s">
        <v>13</v>
      </c>
    </row>
    <row r="4" spans="1:16" x14ac:dyDescent="0.35">
      <c r="A4" s="3" t="s">
        <v>14</v>
      </c>
      <c r="B4" s="16">
        <v>7.3233481999999993E-5</v>
      </c>
      <c r="C4" s="8" t="s">
        <v>15</v>
      </c>
      <c r="D4" s="8" t="str">
        <f t="shared" ref="D4:D33" si="0">IF(B4&lt;0.000011, "Yes", "No")</f>
        <v>No</v>
      </c>
      <c r="E4" s="9">
        <f>$B4*'Kroger Payments'!C$19</f>
        <v>132.54623851712324</v>
      </c>
      <c r="F4" s="9">
        <f>$B4*'Kroger Payments'!D$19</f>
        <v>132.54623851712324</v>
      </c>
      <c r="G4" s="9">
        <f>$B4*'Kroger Payments'!E$19</f>
        <v>132.54623851712324</v>
      </c>
      <c r="H4" s="9">
        <f>$B4*'Kroger Payments'!F$19</f>
        <v>132.54623851712324</v>
      </c>
      <c r="I4" s="9">
        <f>$B4*'Kroger Payments'!G$19</f>
        <v>132.54623851712324</v>
      </c>
      <c r="J4" s="9">
        <f>$B4*'Kroger Payments'!H$19</f>
        <v>132.54623851712324</v>
      </c>
      <c r="K4" s="9">
        <f>$B4*'Kroger Payments'!I$19</f>
        <v>132.54623851712324</v>
      </c>
      <c r="L4" s="9">
        <f>$B4*'Kroger Payments'!J$19</f>
        <v>139.52235633381395</v>
      </c>
      <c r="M4" s="9">
        <f>$B4*'Kroger Payments'!K$19</f>
        <v>139.52235633381395</v>
      </c>
      <c r="N4" s="9">
        <f>$B4*'Kroger Payments'!L$19</f>
        <v>139.52235633381395</v>
      </c>
      <c r="O4" s="9">
        <f>$B4*'Kroger Payments'!M$19</f>
        <v>139.52235634660349</v>
      </c>
      <c r="P4" s="7">
        <f t="shared" ref="P4:P67" si="1">SUM(E4:O4)</f>
        <v>1485.9130949679079</v>
      </c>
    </row>
    <row r="5" spans="1:16" x14ac:dyDescent="0.35">
      <c r="A5" s="3" t="s">
        <v>16</v>
      </c>
      <c r="B5" s="16">
        <v>5.6837012800000004E-4</v>
      </c>
      <c r="C5" s="8" t="s">
        <v>17</v>
      </c>
      <c r="D5" s="8" t="str">
        <f t="shared" si="0"/>
        <v>No</v>
      </c>
      <c r="E5" s="9">
        <f>$B5*'Kroger Payments'!C$19</f>
        <v>1028.7005409888318</v>
      </c>
      <c r="F5" s="9">
        <f>$B5*'Kroger Payments'!D$19</f>
        <v>1028.7005409888318</v>
      </c>
      <c r="G5" s="9">
        <f>$B5*'Kroger Payments'!E$19</f>
        <v>1028.7005409888318</v>
      </c>
      <c r="H5" s="9">
        <f>$B5*'Kroger Payments'!F$19</f>
        <v>1028.7005409888318</v>
      </c>
      <c r="I5" s="9">
        <f>$B5*'Kroger Payments'!G$19</f>
        <v>1028.7005409888318</v>
      </c>
      <c r="J5" s="9">
        <f>$B5*'Kroger Payments'!H$19</f>
        <v>1028.7005409888318</v>
      </c>
      <c r="K5" s="9">
        <f>$B5*'Kroger Payments'!I$19</f>
        <v>1028.7005409888318</v>
      </c>
      <c r="L5" s="9">
        <f>$B5*'Kroger Payments'!J$19</f>
        <v>1082.8426747250862</v>
      </c>
      <c r="M5" s="9">
        <f>$B5*'Kroger Payments'!K$19</f>
        <v>1082.8426747250862</v>
      </c>
      <c r="N5" s="9">
        <f>$B5*'Kroger Payments'!L$19</f>
        <v>1082.8426747250862</v>
      </c>
      <c r="O5" s="9">
        <f>$B5*'Kroger Payments'!M$19</f>
        <v>1082.8426748243469</v>
      </c>
      <c r="P5" s="7">
        <f t="shared" si="1"/>
        <v>11532.274485921429</v>
      </c>
    </row>
    <row r="6" spans="1:16" x14ac:dyDescent="0.35">
      <c r="A6" s="3" t="s">
        <v>18</v>
      </c>
      <c r="B6" s="16">
        <v>8.3449117899999997E-4</v>
      </c>
      <c r="C6" s="8" t="s">
        <v>18</v>
      </c>
      <c r="D6" s="8" t="str">
        <f t="shared" si="0"/>
        <v>No</v>
      </c>
      <c r="E6" s="9">
        <f>$B6*'Kroger Payments'!C$19</f>
        <v>1510.3565176945895</v>
      </c>
      <c r="F6" s="9">
        <f>$B6*'Kroger Payments'!D$19</f>
        <v>1510.3565176945895</v>
      </c>
      <c r="G6" s="9">
        <f>$B6*'Kroger Payments'!E$19</f>
        <v>1510.3565176945895</v>
      </c>
      <c r="H6" s="9">
        <f>$B6*'Kroger Payments'!F$19</f>
        <v>1510.3565176945895</v>
      </c>
      <c r="I6" s="9">
        <f>$B6*'Kroger Payments'!G$19</f>
        <v>1510.3565176945895</v>
      </c>
      <c r="J6" s="9">
        <f>$B6*'Kroger Payments'!H$19</f>
        <v>1510.3565176945895</v>
      </c>
      <c r="K6" s="9">
        <f>$B6*'Kroger Payments'!I$19</f>
        <v>1510.3565176945895</v>
      </c>
      <c r="L6" s="9">
        <f>$B6*'Kroger Payments'!J$19</f>
        <v>1589.8489659943048</v>
      </c>
      <c r="M6" s="9">
        <f>$B6*'Kroger Payments'!K$19</f>
        <v>1589.8489659943048</v>
      </c>
      <c r="N6" s="9">
        <f>$B6*'Kroger Payments'!L$19</f>
        <v>1589.8489659943048</v>
      </c>
      <c r="O6" s="9">
        <f>$B6*'Kroger Payments'!M$19</f>
        <v>1589.8489661400408</v>
      </c>
      <c r="P6" s="7">
        <f t="shared" si="1"/>
        <v>16931.891487985082</v>
      </c>
    </row>
    <row r="7" spans="1:16" x14ac:dyDescent="0.35">
      <c r="A7" s="3" t="s">
        <v>19</v>
      </c>
      <c r="B7" s="16">
        <v>7.8529121500000004E-4</v>
      </c>
      <c r="C7" s="8" t="s">
        <v>19</v>
      </c>
      <c r="D7" s="8" t="str">
        <f t="shared" si="0"/>
        <v>No</v>
      </c>
      <c r="E7" s="9">
        <f>$B7*'Kroger Payments'!C$19</f>
        <v>1421.308858273208</v>
      </c>
      <c r="F7" s="9">
        <f>$B7*'Kroger Payments'!D$19</f>
        <v>1421.308858273208</v>
      </c>
      <c r="G7" s="9">
        <f>$B7*'Kroger Payments'!E$19</f>
        <v>1421.308858273208</v>
      </c>
      <c r="H7" s="9">
        <f>$B7*'Kroger Payments'!F$19</f>
        <v>1421.308858273208</v>
      </c>
      <c r="I7" s="9">
        <f>$B7*'Kroger Payments'!G$19</f>
        <v>1421.308858273208</v>
      </c>
      <c r="J7" s="9">
        <f>$B7*'Kroger Payments'!H$19</f>
        <v>1421.308858273208</v>
      </c>
      <c r="K7" s="9">
        <f>$B7*'Kroger Payments'!I$19</f>
        <v>1421.308858273208</v>
      </c>
      <c r="L7" s="9">
        <f>$B7*'Kroger Payments'!J$19</f>
        <v>1496.1145876560086</v>
      </c>
      <c r="M7" s="9">
        <f>$B7*'Kroger Payments'!K$19</f>
        <v>1496.1145876560086</v>
      </c>
      <c r="N7" s="9">
        <f>$B7*'Kroger Payments'!L$19</f>
        <v>1496.1145876560086</v>
      </c>
      <c r="O7" s="9">
        <f>$B7*'Kroger Payments'!M$19</f>
        <v>1496.1145877931522</v>
      </c>
      <c r="P7" s="7">
        <f t="shared" si="1"/>
        <v>15933.62035867363</v>
      </c>
    </row>
    <row r="8" spans="1:16" x14ac:dyDescent="0.35">
      <c r="A8" s="3" t="s">
        <v>14</v>
      </c>
      <c r="B8" s="16">
        <v>2.9345639999999998E-5</v>
      </c>
      <c r="C8" s="8" t="s">
        <v>20</v>
      </c>
      <c r="D8" s="8" t="str">
        <f t="shared" si="0"/>
        <v>No</v>
      </c>
      <c r="E8" s="9">
        <f>$B8*'Kroger Payments'!C$19</f>
        <v>53.113058298629483</v>
      </c>
      <c r="F8" s="9">
        <f>$B8*'Kroger Payments'!D$19</f>
        <v>53.113058298629483</v>
      </c>
      <c r="G8" s="9">
        <f>$B8*'Kroger Payments'!E$19</f>
        <v>53.113058298629483</v>
      </c>
      <c r="H8" s="9">
        <f>$B8*'Kroger Payments'!F$19</f>
        <v>53.113058298629483</v>
      </c>
      <c r="I8" s="9">
        <f>$B8*'Kroger Payments'!G$19</f>
        <v>53.113058298629483</v>
      </c>
      <c r="J8" s="9">
        <f>$B8*'Kroger Payments'!H$19</f>
        <v>53.113058298629483</v>
      </c>
      <c r="K8" s="9">
        <f>$B8*'Kroger Payments'!I$19</f>
        <v>53.113058298629483</v>
      </c>
      <c r="L8" s="9">
        <f>$B8*'Kroger Payments'!J$19</f>
        <v>55.908482419609982</v>
      </c>
      <c r="M8" s="9">
        <f>$B8*'Kroger Payments'!K$19</f>
        <v>55.908482419609982</v>
      </c>
      <c r="N8" s="9">
        <f>$B8*'Kroger Payments'!L$19</f>
        <v>55.908482419609982</v>
      </c>
      <c r="O8" s="9">
        <f>$B8*'Kroger Payments'!M$19</f>
        <v>55.908482424734927</v>
      </c>
      <c r="P8" s="7">
        <f t="shared" si="1"/>
        <v>595.42533777397125</v>
      </c>
    </row>
    <row r="9" spans="1:16" x14ac:dyDescent="0.35">
      <c r="A9" s="3" t="s">
        <v>21</v>
      </c>
      <c r="B9" s="16">
        <v>7.7258819349999997E-3</v>
      </c>
      <c r="C9" s="8" t="s">
        <v>21</v>
      </c>
      <c r="D9" s="8" t="str">
        <f t="shared" si="0"/>
        <v>No</v>
      </c>
      <c r="E9" s="9">
        <f>$B9*'Kroger Payments'!C$19</f>
        <v>13983.174932357357</v>
      </c>
      <c r="F9" s="9">
        <f>$B9*'Kroger Payments'!D$19</f>
        <v>13983.174932357357</v>
      </c>
      <c r="G9" s="9">
        <f>$B9*'Kroger Payments'!E$19</f>
        <v>13983.174932357357</v>
      </c>
      <c r="H9" s="9">
        <f>$B9*'Kroger Payments'!F$19</f>
        <v>13983.174932357357</v>
      </c>
      <c r="I9" s="9">
        <f>$B9*'Kroger Payments'!G$19</f>
        <v>13983.174932357357</v>
      </c>
      <c r="J9" s="9">
        <f>$B9*'Kroger Payments'!H$19</f>
        <v>13983.174932357357</v>
      </c>
      <c r="K9" s="9">
        <f>$B9*'Kroger Payments'!I$19</f>
        <v>13983.174932357357</v>
      </c>
      <c r="L9" s="9">
        <f>$B9*'Kroger Payments'!J$19</f>
        <v>14719.131507744587</v>
      </c>
      <c r="M9" s="9">
        <f>$B9*'Kroger Payments'!K$19</f>
        <v>14719.131507744587</v>
      </c>
      <c r="N9" s="9">
        <f>$B9*'Kroger Payments'!L$19</f>
        <v>14719.131507744587</v>
      </c>
      <c r="O9" s="9">
        <f>$B9*'Kroger Payments'!M$19</f>
        <v>14719.131509093841</v>
      </c>
      <c r="P9" s="7">
        <f t="shared" si="1"/>
        <v>156758.75055882911</v>
      </c>
    </row>
    <row r="10" spans="1:16" x14ac:dyDescent="0.35">
      <c r="A10" s="3" t="s">
        <v>22</v>
      </c>
      <c r="B10" s="16">
        <v>1.0747353549999999E-3</v>
      </c>
      <c r="C10" s="8" t="s">
        <v>23</v>
      </c>
      <c r="D10" s="8" t="str">
        <f t="shared" si="0"/>
        <v>No</v>
      </c>
      <c r="E10" s="9">
        <f>$B10*'Kroger Payments'!C$19</f>
        <v>1945.1775993201461</v>
      </c>
      <c r="F10" s="9">
        <f>$B10*'Kroger Payments'!D$19</f>
        <v>1945.1775993201461</v>
      </c>
      <c r="G10" s="9">
        <f>$B10*'Kroger Payments'!E$19</f>
        <v>1945.1775993201461</v>
      </c>
      <c r="H10" s="9">
        <f>$B10*'Kroger Payments'!F$19</f>
        <v>1945.1775993201461</v>
      </c>
      <c r="I10" s="9">
        <f>$B10*'Kroger Payments'!G$19</f>
        <v>1945.1775993201461</v>
      </c>
      <c r="J10" s="9">
        <f>$B10*'Kroger Payments'!H$19</f>
        <v>1945.1775993201461</v>
      </c>
      <c r="K10" s="9">
        <f>$B10*'Kroger Payments'!I$19</f>
        <v>1945.1775993201461</v>
      </c>
      <c r="L10" s="9">
        <f>$B10*'Kroger Payments'!J$19</f>
        <v>2047.555367705417</v>
      </c>
      <c r="M10" s="9">
        <f>$B10*'Kroger Payments'!K$19</f>
        <v>2047.555367705417</v>
      </c>
      <c r="N10" s="9">
        <f>$B10*'Kroger Payments'!L$19</f>
        <v>2047.555367705417</v>
      </c>
      <c r="O10" s="9">
        <f>$B10*'Kroger Payments'!M$19</f>
        <v>2047.5553678931096</v>
      </c>
      <c r="P10" s="7">
        <f t="shared" si="1"/>
        <v>21806.464666250384</v>
      </c>
    </row>
    <row r="11" spans="1:16" x14ac:dyDescent="0.35">
      <c r="A11" s="3" t="s">
        <v>24</v>
      </c>
      <c r="B11" s="16">
        <v>7.7776425000000005E-5</v>
      </c>
      <c r="C11" s="8" t="s">
        <v>25</v>
      </c>
      <c r="D11" s="8" t="str">
        <f t="shared" si="0"/>
        <v>No</v>
      </c>
      <c r="E11" s="9">
        <f>$B11*'Kroger Payments'!C$19</f>
        <v>140.76857057075546</v>
      </c>
      <c r="F11" s="9">
        <f>$B11*'Kroger Payments'!D$19</f>
        <v>140.76857057075546</v>
      </c>
      <c r="G11" s="9">
        <f>$B11*'Kroger Payments'!E$19</f>
        <v>140.76857057075546</v>
      </c>
      <c r="H11" s="9">
        <f>$B11*'Kroger Payments'!F$19</f>
        <v>140.76857057075546</v>
      </c>
      <c r="I11" s="9">
        <f>$B11*'Kroger Payments'!G$19</f>
        <v>140.76857057075546</v>
      </c>
      <c r="J11" s="9">
        <f>$B11*'Kroger Payments'!H$19</f>
        <v>140.76857057075546</v>
      </c>
      <c r="K11" s="9">
        <f>$B11*'Kroger Payments'!I$19</f>
        <v>140.76857057075546</v>
      </c>
      <c r="L11" s="9">
        <f>$B11*'Kroger Payments'!J$19</f>
        <v>148.17744270605837</v>
      </c>
      <c r="M11" s="9">
        <f>$B11*'Kroger Payments'!K$19</f>
        <v>148.17744270605837</v>
      </c>
      <c r="N11" s="9">
        <f>$B11*'Kroger Payments'!L$19</f>
        <v>148.17744270605837</v>
      </c>
      <c r="O11" s="9">
        <f>$B11*'Kroger Payments'!M$19</f>
        <v>148.17744271964131</v>
      </c>
      <c r="P11" s="7">
        <f t="shared" si="1"/>
        <v>1578.0897648331045</v>
      </c>
    </row>
    <row r="12" spans="1:16" x14ac:dyDescent="0.35">
      <c r="A12" s="3" t="s">
        <v>26</v>
      </c>
      <c r="B12" s="16">
        <v>3.1719357810000002E-3</v>
      </c>
      <c r="C12" s="8" t="s">
        <v>26</v>
      </c>
      <c r="D12" s="8" t="str">
        <f t="shared" si="0"/>
        <v>No</v>
      </c>
      <c r="E12" s="9">
        <f>$B12*'Kroger Payments'!C$19</f>
        <v>5740.9281261462302</v>
      </c>
      <c r="F12" s="9">
        <f>$B12*'Kroger Payments'!D$19</f>
        <v>5740.9281261462302</v>
      </c>
      <c r="G12" s="9">
        <f>$B12*'Kroger Payments'!E$19</f>
        <v>5740.9281261462302</v>
      </c>
      <c r="H12" s="9">
        <f>$B12*'Kroger Payments'!F$19</f>
        <v>5740.9281261462302</v>
      </c>
      <c r="I12" s="9">
        <f>$B12*'Kroger Payments'!G$19</f>
        <v>5740.9281261462302</v>
      </c>
      <c r="J12" s="9">
        <f>$B12*'Kroger Payments'!H$19</f>
        <v>5740.9281261462302</v>
      </c>
      <c r="K12" s="9">
        <f>$B12*'Kroger Payments'!I$19</f>
        <v>5740.9281261462302</v>
      </c>
      <c r="L12" s="9">
        <f>$B12*'Kroger Payments'!J$19</f>
        <v>6043.0822380486634</v>
      </c>
      <c r="M12" s="9">
        <f>$B12*'Kroger Payments'!K$19</f>
        <v>6043.0822380486634</v>
      </c>
      <c r="N12" s="9">
        <f>$B12*'Kroger Payments'!L$19</f>
        <v>6043.0822380486634</v>
      </c>
      <c r="O12" s="9">
        <f>$B12*'Kroger Payments'!M$19</f>
        <v>6043.082238602613</v>
      </c>
      <c r="P12" s="7">
        <f t="shared" si="1"/>
        <v>64358.825835772215</v>
      </c>
    </row>
    <row r="13" spans="1:16" x14ac:dyDescent="0.35">
      <c r="A13" s="3" t="s">
        <v>14</v>
      </c>
      <c r="B13" s="16">
        <v>2.5427082999999999E-5</v>
      </c>
      <c r="C13" s="8" t="s">
        <v>27</v>
      </c>
      <c r="D13" s="8" t="str">
        <f t="shared" si="0"/>
        <v>No</v>
      </c>
      <c r="E13" s="9">
        <f>$B13*'Kroger Payments'!C$19</f>
        <v>46.020810646593176</v>
      </c>
      <c r="F13" s="9">
        <f>$B13*'Kroger Payments'!D$19</f>
        <v>46.020810646593176</v>
      </c>
      <c r="G13" s="9">
        <f>$B13*'Kroger Payments'!E$19</f>
        <v>46.020810646593176</v>
      </c>
      <c r="H13" s="9">
        <f>$B13*'Kroger Payments'!F$19</f>
        <v>46.020810646593176</v>
      </c>
      <c r="I13" s="9">
        <f>$B13*'Kroger Payments'!G$19</f>
        <v>46.020810646593176</v>
      </c>
      <c r="J13" s="9">
        <f>$B13*'Kroger Payments'!H$19</f>
        <v>46.020810646593176</v>
      </c>
      <c r="K13" s="9">
        <f>$B13*'Kroger Payments'!I$19</f>
        <v>46.020810646593176</v>
      </c>
      <c r="L13" s="9">
        <f>$B13*'Kroger Payments'!J$19</f>
        <v>48.442958575361246</v>
      </c>
      <c r="M13" s="9">
        <f>$B13*'Kroger Payments'!K$19</f>
        <v>48.442958575361246</v>
      </c>
      <c r="N13" s="9">
        <f>$B13*'Kroger Payments'!L$19</f>
        <v>48.442958575361246</v>
      </c>
      <c r="O13" s="9">
        <f>$B13*'Kroger Payments'!M$19</f>
        <v>48.442958579801846</v>
      </c>
      <c r="P13" s="7">
        <f t="shared" si="1"/>
        <v>515.91750883203781</v>
      </c>
    </row>
    <row r="14" spans="1:16" x14ac:dyDescent="0.35">
      <c r="A14" s="3" t="s">
        <v>28</v>
      </c>
      <c r="B14" s="16">
        <v>4.6322508740000001E-3</v>
      </c>
      <c r="C14" s="8" t="s">
        <v>29</v>
      </c>
      <c r="D14" s="8" t="str">
        <f t="shared" si="0"/>
        <v>No</v>
      </c>
      <c r="E14" s="9">
        <f>$B14*'Kroger Payments'!C$19</f>
        <v>8383.971544823673</v>
      </c>
      <c r="F14" s="9">
        <f>$B14*'Kroger Payments'!D$19</f>
        <v>8383.971544823673</v>
      </c>
      <c r="G14" s="9">
        <f>$B14*'Kroger Payments'!E$19</f>
        <v>8383.971544823673</v>
      </c>
      <c r="H14" s="9">
        <f>$B14*'Kroger Payments'!F$19</f>
        <v>8383.971544823673</v>
      </c>
      <c r="I14" s="9">
        <f>$B14*'Kroger Payments'!G$19</f>
        <v>8383.971544823673</v>
      </c>
      <c r="J14" s="9">
        <f>$B14*'Kroger Payments'!H$19</f>
        <v>8383.971544823673</v>
      </c>
      <c r="K14" s="9">
        <f>$B14*'Kroger Payments'!I$19</f>
        <v>8383.971544823673</v>
      </c>
      <c r="L14" s="9">
        <f>$B14*'Kroger Payments'!J$19</f>
        <v>8825.2332050775512</v>
      </c>
      <c r="M14" s="9">
        <f>$B14*'Kroger Payments'!K$19</f>
        <v>8825.2332050775512</v>
      </c>
      <c r="N14" s="9">
        <f>$B14*'Kroger Payments'!L$19</f>
        <v>8825.2332050775512</v>
      </c>
      <c r="O14" s="9">
        <f>$B14*'Kroger Payments'!M$19</f>
        <v>8825.2332058865304</v>
      </c>
      <c r="P14" s="7">
        <f t="shared" si="1"/>
        <v>93988.733634884906</v>
      </c>
    </row>
    <row r="15" spans="1:16" x14ac:dyDescent="0.35">
      <c r="A15" s="3" t="s">
        <v>30</v>
      </c>
      <c r="B15" s="16">
        <v>2.3810058449999999E-3</v>
      </c>
      <c r="C15" s="8" t="s">
        <v>30</v>
      </c>
      <c r="D15" s="8" t="str">
        <f t="shared" si="0"/>
        <v>No</v>
      </c>
      <c r="E15" s="9">
        <f>$B15*'Kroger Payments'!C$19</f>
        <v>4309.4136728612002</v>
      </c>
      <c r="F15" s="9">
        <f>$B15*'Kroger Payments'!D$19</f>
        <v>4309.4136728612002</v>
      </c>
      <c r="G15" s="9">
        <f>$B15*'Kroger Payments'!E$19</f>
        <v>4309.4136728612002</v>
      </c>
      <c r="H15" s="9">
        <f>$B15*'Kroger Payments'!F$19</f>
        <v>4309.4136728612002</v>
      </c>
      <c r="I15" s="9">
        <f>$B15*'Kroger Payments'!G$19</f>
        <v>4309.4136728612002</v>
      </c>
      <c r="J15" s="9">
        <f>$B15*'Kroger Payments'!H$19</f>
        <v>4309.4136728612002</v>
      </c>
      <c r="K15" s="9">
        <f>$B15*'Kroger Payments'!I$19</f>
        <v>4309.4136728612002</v>
      </c>
      <c r="L15" s="9">
        <f>$B15*'Kroger Payments'!J$19</f>
        <v>4536.2249188012638</v>
      </c>
      <c r="M15" s="9">
        <f>$B15*'Kroger Payments'!K$19</f>
        <v>4536.2249188012638</v>
      </c>
      <c r="N15" s="9">
        <f>$B15*'Kroger Payments'!L$19</f>
        <v>4536.2249188012638</v>
      </c>
      <c r="O15" s="9">
        <f>$B15*'Kroger Payments'!M$19</f>
        <v>4536.2249192170839</v>
      </c>
      <c r="P15" s="7">
        <f t="shared" si="1"/>
        <v>48310.795385649275</v>
      </c>
    </row>
    <row r="16" spans="1:16" x14ac:dyDescent="0.35">
      <c r="A16" s="3" t="s">
        <v>31</v>
      </c>
      <c r="B16" s="16">
        <v>1.3132895000000001E-5</v>
      </c>
      <c r="C16" s="8" t="s">
        <v>32</v>
      </c>
      <c r="D16" s="8" t="str">
        <f t="shared" si="0"/>
        <v>No</v>
      </c>
      <c r="E16" s="9">
        <f>$B16*'Kroger Payments'!C$19</f>
        <v>23.76939871697396</v>
      </c>
      <c r="F16" s="9">
        <f>$B16*'Kroger Payments'!D$19</f>
        <v>23.76939871697396</v>
      </c>
      <c r="G16" s="9">
        <f>$B16*'Kroger Payments'!E$19</f>
        <v>23.76939871697396</v>
      </c>
      <c r="H16" s="9">
        <f>$B16*'Kroger Payments'!F$19</f>
        <v>23.76939871697396</v>
      </c>
      <c r="I16" s="9">
        <f>$B16*'Kroger Payments'!G$19</f>
        <v>23.76939871697396</v>
      </c>
      <c r="J16" s="9">
        <f>$B16*'Kroger Payments'!H$19</f>
        <v>23.76939871697396</v>
      </c>
      <c r="K16" s="9">
        <f>$B16*'Kroger Payments'!I$19</f>
        <v>23.76939871697396</v>
      </c>
      <c r="L16" s="9">
        <f>$B16*'Kroger Payments'!J$19</f>
        <v>25.020419702077852</v>
      </c>
      <c r="M16" s="9">
        <f>$B16*'Kroger Payments'!K$19</f>
        <v>25.020419702077852</v>
      </c>
      <c r="N16" s="9">
        <f>$B16*'Kroger Payments'!L$19</f>
        <v>25.020419702077852</v>
      </c>
      <c r="O16" s="9">
        <f>$B16*'Kroger Payments'!M$19</f>
        <v>25.020419704371392</v>
      </c>
      <c r="P16" s="7">
        <f t="shared" si="1"/>
        <v>266.46746982942267</v>
      </c>
    </row>
    <row r="17" spans="1:16" x14ac:dyDescent="0.35">
      <c r="A17" s="3" t="s">
        <v>33</v>
      </c>
      <c r="B17" s="16">
        <v>1.612057938E-3</v>
      </c>
      <c r="C17" s="8" t="s">
        <v>33</v>
      </c>
      <c r="D17" s="8" t="str">
        <f t="shared" si="0"/>
        <v>No</v>
      </c>
      <c r="E17" s="9">
        <f>$B17*'Kroger Payments'!C$19</f>
        <v>2917.6847818538781</v>
      </c>
      <c r="F17" s="9">
        <f>$B17*'Kroger Payments'!D$19</f>
        <v>2917.6847818538781</v>
      </c>
      <c r="G17" s="9">
        <f>$B17*'Kroger Payments'!E$19</f>
        <v>2917.6847818538781</v>
      </c>
      <c r="H17" s="9">
        <f>$B17*'Kroger Payments'!F$19</f>
        <v>2917.6847818538781</v>
      </c>
      <c r="I17" s="9">
        <f>$B17*'Kroger Payments'!G$19</f>
        <v>2917.6847818538781</v>
      </c>
      <c r="J17" s="9">
        <f>$B17*'Kroger Payments'!H$19</f>
        <v>2917.6847818538781</v>
      </c>
      <c r="K17" s="9">
        <f>$B17*'Kroger Payments'!I$19</f>
        <v>2917.6847818538781</v>
      </c>
      <c r="L17" s="9">
        <f>$B17*'Kroger Payments'!J$19</f>
        <v>3071.2471387935557</v>
      </c>
      <c r="M17" s="9">
        <f>$B17*'Kroger Payments'!K$19</f>
        <v>3071.2471387935557</v>
      </c>
      <c r="N17" s="9">
        <f>$B17*'Kroger Payments'!L$19</f>
        <v>3071.2471387935557</v>
      </c>
      <c r="O17" s="9">
        <f>$B17*'Kroger Payments'!M$19</f>
        <v>3071.2471390750866</v>
      </c>
      <c r="P17" s="7">
        <f t="shared" si="1"/>
        <v>32708.782028432895</v>
      </c>
    </row>
    <row r="18" spans="1:16" x14ac:dyDescent="0.35">
      <c r="A18" s="3" t="s">
        <v>34</v>
      </c>
      <c r="B18" s="16">
        <v>1.1768999779999999E-3</v>
      </c>
      <c r="C18" s="8" t="s">
        <v>35</v>
      </c>
      <c r="D18" s="8" t="str">
        <f t="shared" si="0"/>
        <v>No</v>
      </c>
      <c r="E18" s="9">
        <f>$B18*'Kroger Payments'!C$19</f>
        <v>2130.0866889653712</v>
      </c>
      <c r="F18" s="9">
        <f>$B18*'Kroger Payments'!D$19</f>
        <v>2130.0866889653712</v>
      </c>
      <c r="G18" s="9">
        <f>$B18*'Kroger Payments'!E$19</f>
        <v>2130.0866889653712</v>
      </c>
      <c r="H18" s="9">
        <f>$B18*'Kroger Payments'!F$19</f>
        <v>2130.0866889653712</v>
      </c>
      <c r="I18" s="9">
        <f>$B18*'Kroger Payments'!G$19</f>
        <v>2130.0866889653712</v>
      </c>
      <c r="J18" s="9">
        <f>$B18*'Kroger Payments'!H$19</f>
        <v>2130.0866889653712</v>
      </c>
      <c r="K18" s="9">
        <f>$B18*'Kroger Payments'!I$19</f>
        <v>2130.0866889653712</v>
      </c>
      <c r="L18" s="9">
        <f>$B18*'Kroger Payments'!J$19</f>
        <v>2242.1965147003907</v>
      </c>
      <c r="M18" s="9">
        <f>$B18*'Kroger Payments'!K$19</f>
        <v>2242.1965147003907</v>
      </c>
      <c r="N18" s="9">
        <f>$B18*'Kroger Payments'!L$19</f>
        <v>2242.1965147003907</v>
      </c>
      <c r="O18" s="9">
        <f>$B18*'Kroger Payments'!M$19</f>
        <v>2242.1965149059251</v>
      </c>
      <c r="P18" s="7">
        <f t="shared" si="1"/>
        <v>23879.392881764696</v>
      </c>
    </row>
    <row r="19" spans="1:16" x14ac:dyDescent="0.35">
      <c r="A19" s="3" t="s">
        <v>36</v>
      </c>
      <c r="B19" s="16">
        <v>1.09251027E-4</v>
      </c>
      <c r="C19" s="8" t="s">
        <v>37</v>
      </c>
      <c r="D19" s="8" t="str">
        <f t="shared" si="0"/>
        <v>No</v>
      </c>
      <c r="E19" s="9">
        <f>$B19*'Kroger Payments'!C$19</f>
        <v>197.73486508510783</v>
      </c>
      <c r="F19" s="9">
        <f>$B19*'Kroger Payments'!D$19</f>
        <v>197.73486508510783</v>
      </c>
      <c r="G19" s="9">
        <f>$B19*'Kroger Payments'!E$19</f>
        <v>197.73486508510783</v>
      </c>
      <c r="H19" s="9">
        <f>$B19*'Kroger Payments'!F$19</f>
        <v>197.73486508510783</v>
      </c>
      <c r="I19" s="9">
        <f>$B19*'Kroger Payments'!G$19</f>
        <v>197.73486508510783</v>
      </c>
      <c r="J19" s="9">
        <f>$B19*'Kroger Payments'!H$19</f>
        <v>197.73486508510783</v>
      </c>
      <c r="K19" s="9">
        <f>$B19*'Kroger Payments'!I$19</f>
        <v>197.73486508510783</v>
      </c>
      <c r="L19" s="9">
        <f>$B19*'Kroger Payments'!J$19</f>
        <v>208.14196324748195</v>
      </c>
      <c r="M19" s="9">
        <f>$B19*'Kroger Payments'!K$19</f>
        <v>208.14196324748195</v>
      </c>
      <c r="N19" s="9">
        <f>$B19*'Kroger Payments'!L$19</f>
        <v>208.14196324748195</v>
      </c>
      <c r="O19" s="9">
        <f>$B19*'Kroger Payments'!M$19</f>
        <v>208.14196326656162</v>
      </c>
      <c r="P19" s="7">
        <f t="shared" si="1"/>
        <v>2216.7119086047624</v>
      </c>
    </row>
    <row r="20" spans="1:16" x14ac:dyDescent="0.35">
      <c r="A20" s="3" t="s">
        <v>38</v>
      </c>
      <c r="B20" s="16">
        <v>7.4111255799999998E-4</v>
      </c>
      <c r="C20" s="8" t="s">
        <v>38</v>
      </c>
      <c r="D20" s="8" t="str">
        <f t="shared" si="0"/>
        <v>No</v>
      </c>
      <c r="E20" s="9">
        <f>$B20*'Kroger Payments'!C$19</f>
        <v>1341.3493281761932</v>
      </c>
      <c r="F20" s="9">
        <f>$B20*'Kroger Payments'!D$19</f>
        <v>1341.3493281761932</v>
      </c>
      <c r="G20" s="9">
        <f>$B20*'Kroger Payments'!E$19</f>
        <v>1341.3493281761932</v>
      </c>
      <c r="H20" s="9">
        <f>$B20*'Kroger Payments'!F$19</f>
        <v>1341.3493281761932</v>
      </c>
      <c r="I20" s="9">
        <f>$B20*'Kroger Payments'!G$19</f>
        <v>1341.3493281761932</v>
      </c>
      <c r="J20" s="9">
        <f>$B20*'Kroger Payments'!H$19</f>
        <v>1341.3493281761932</v>
      </c>
      <c r="K20" s="9">
        <f>$B20*'Kroger Payments'!I$19</f>
        <v>1341.3493281761932</v>
      </c>
      <c r="L20" s="9">
        <f>$B20*'Kroger Payments'!J$19</f>
        <v>1411.9466612380982</v>
      </c>
      <c r="M20" s="9">
        <f>$B20*'Kroger Payments'!K$19</f>
        <v>1411.9466612380982</v>
      </c>
      <c r="N20" s="9">
        <f>$B20*'Kroger Payments'!L$19</f>
        <v>1411.9466612380982</v>
      </c>
      <c r="O20" s="9">
        <f>$B20*'Kroger Payments'!M$19</f>
        <v>1411.9466613675265</v>
      </c>
      <c r="P20" s="7">
        <f t="shared" si="1"/>
        <v>15037.231942315175</v>
      </c>
    </row>
    <row r="21" spans="1:16" x14ac:dyDescent="0.35">
      <c r="A21" s="3" t="s">
        <v>39</v>
      </c>
      <c r="B21" s="16">
        <v>4.3297023579999998E-3</v>
      </c>
      <c r="C21" s="8" t="s">
        <v>39</v>
      </c>
      <c r="D21" s="8" t="str">
        <f t="shared" si="0"/>
        <v>No</v>
      </c>
      <c r="E21" s="9">
        <f>$B21*'Kroger Payments'!C$19</f>
        <v>7836.3850219714932</v>
      </c>
      <c r="F21" s="9">
        <f>$B21*'Kroger Payments'!D$19</f>
        <v>7836.3850219714932</v>
      </c>
      <c r="G21" s="9">
        <f>$B21*'Kroger Payments'!E$19</f>
        <v>7836.3850219714932</v>
      </c>
      <c r="H21" s="9">
        <f>$B21*'Kroger Payments'!F$19</f>
        <v>7836.3850219714932</v>
      </c>
      <c r="I21" s="9">
        <f>$B21*'Kroger Payments'!G$19</f>
        <v>7836.3850219714932</v>
      </c>
      <c r="J21" s="9">
        <f>$B21*'Kroger Payments'!H$19</f>
        <v>7836.3850219714932</v>
      </c>
      <c r="K21" s="9">
        <f>$B21*'Kroger Payments'!I$19</f>
        <v>7836.3850219714932</v>
      </c>
      <c r="L21" s="9">
        <f>$B21*'Kroger Payments'!J$19</f>
        <v>8248.8263389173626</v>
      </c>
      <c r="M21" s="9">
        <f>$B21*'Kroger Payments'!K$19</f>
        <v>8248.8263389173626</v>
      </c>
      <c r="N21" s="9">
        <f>$B21*'Kroger Payments'!L$19</f>
        <v>8248.8263389173626</v>
      </c>
      <c r="O21" s="9">
        <f>$B21*'Kroger Payments'!M$19</f>
        <v>8248.8263396735038</v>
      </c>
      <c r="P21" s="7">
        <f t="shared" si="1"/>
        <v>87850.000510226047</v>
      </c>
    </row>
    <row r="22" spans="1:16" x14ac:dyDescent="0.35">
      <c r="A22" s="3" t="s">
        <v>40</v>
      </c>
      <c r="B22" s="16">
        <v>5.3796851599999999E-4</v>
      </c>
      <c r="C22" s="8" t="s">
        <v>41</v>
      </c>
      <c r="D22" s="8" t="str">
        <f t="shared" si="0"/>
        <v>No</v>
      </c>
      <c r="E22" s="9">
        <f>$B22*'Kroger Payments'!C$19</f>
        <v>973.67626513291884</v>
      </c>
      <c r="F22" s="9">
        <f>$B22*'Kroger Payments'!D$19</f>
        <v>973.67626513291884</v>
      </c>
      <c r="G22" s="9">
        <f>$B22*'Kroger Payments'!E$19</f>
        <v>973.67626513291884</v>
      </c>
      <c r="H22" s="9">
        <f>$B22*'Kroger Payments'!F$19</f>
        <v>973.67626513291884</v>
      </c>
      <c r="I22" s="9">
        <f>$B22*'Kroger Payments'!G$19</f>
        <v>973.67626513291884</v>
      </c>
      <c r="J22" s="9">
        <f>$B22*'Kroger Payments'!H$19</f>
        <v>973.67626513291884</v>
      </c>
      <c r="K22" s="9">
        <f>$B22*'Kroger Payments'!I$19</f>
        <v>973.67626513291884</v>
      </c>
      <c r="L22" s="9">
        <f>$B22*'Kroger Payments'!J$19</f>
        <v>1024.922384350441</v>
      </c>
      <c r="M22" s="9">
        <f>$B22*'Kroger Payments'!K$19</f>
        <v>1024.922384350441</v>
      </c>
      <c r="N22" s="9">
        <f>$B22*'Kroger Payments'!L$19</f>
        <v>1024.922384350441</v>
      </c>
      <c r="O22" s="9">
        <f>$B22*'Kroger Payments'!M$19</f>
        <v>1024.922384444392</v>
      </c>
      <c r="P22" s="7">
        <f t="shared" si="1"/>
        <v>10915.423393426147</v>
      </c>
    </row>
    <row r="23" spans="1:16" x14ac:dyDescent="0.35">
      <c r="A23" s="3" t="s">
        <v>42</v>
      </c>
      <c r="B23" s="16">
        <v>3.4237044360000001E-3</v>
      </c>
      <c r="C23" s="8" t="s">
        <v>43</v>
      </c>
      <c r="D23" s="8" t="str">
        <f t="shared" si="0"/>
        <v>No</v>
      </c>
      <c r="E23" s="9">
        <f>$B23*'Kroger Payments'!C$19</f>
        <v>6196.6075132982069</v>
      </c>
      <c r="F23" s="9">
        <f>$B23*'Kroger Payments'!D$19</f>
        <v>6196.6075132982069</v>
      </c>
      <c r="G23" s="9">
        <f>$B23*'Kroger Payments'!E$19</f>
        <v>6196.6075132982069</v>
      </c>
      <c r="H23" s="9">
        <f>$B23*'Kroger Payments'!F$19</f>
        <v>6196.6075132982069</v>
      </c>
      <c r="I23" s="9">
        <f>$B23*'Kroger Payments'!G$19</f>
        <v>6196.6075132982069</v>
      </c>
      <c r="J23" s="9">
        <f>$B23*'Kroger Payments'!H$19</f>
        <v>6196.6075132982069</v>
      </c>
      <c r="K23" s="9">
        <f>$B23*'Kroger Payments'!I$19</f>
        <v>6196.6075132982069</v>
      </c>
      <c r="L23" s="9">
        <f>$B23*'Kroger Payments'!J$19</f>
        <v>6522.7447508402174</v>
      </c>
      <c r="M23" s="9">
        <f>$B23*'Kroger Payments'!K$19</f>
        <v>6522.7447508402174</v>
      </c>
      <c r="N23" s="9">
        <f>$B23*'Kroger Payments'!L$19</f>
        <v>6522.7447508402174</v>
      </c>
      <c r="O23" s="9">
        <f>$B23*'Kroger Payments'!M$19</f>
        <v>6522.7447514381356</v>
      </c>
      <c r="P23" s="7">
        <f t="shared" si="1"/>
        <v>69467.231597046237</v>
      </c>
    </row>
    <row r="24" spans="1:16" x14ac:dyDescent="0.35">
      <c r="A24" s="3" t="s">
        <v>36</v>
      </c>
      <c r="B24" s="16">
        <v>1.1478027449999999E-3</v>
      </c>
      <c r="C24" s="8" t="s">
        <v>44</v>
      </c>
      <c r="D24" s="8" t="str">
        <f t="shared" si="0"/>
        <v>No</v>
      </c>
      <c r="E24" s="9">
        <f>$B24*'Kroger Payments'!C$19</f>
        <v>2077.4232257504673</v>
      </c>
      <c r="F24" s="9">
        <f>$B24*'Kroger Payments'!D$19</f>
        <v>2077.4232257504673</v>
      </c>
      <c r="G24" s="9">
        <f>$B24*'Kroger Payments'!E$19</f>
        <v>2077.4232257504673</v>
      </c>
      <c r="H24" s="9">
        <f>$B24*'Kroger Payments'!F$19</f>
        <v>2077.4232257504673</v>
      </c>
      <c r="I24" s="9">
        <f>$B24*'Kroger Payments'!G$19</f>
        <v>2077.4232257504673</v>
      </c>
      <c r="J24" s="9">
        <f>$B24*'Kroger Payments'!H$19</f>
        <v>2077.4232257504673</v>
      </c>
      <c r="K24" s="9">
        <f>$B24*'Kroger Payments'!I$19</f>
        <v>2077.4232257504673</v>
      </c>
      <c r="L24" s="9">
        <f>$B24*'Kroger Payments'!J$19</f>
        <v>2186.7612902636502</v>
      </c>
      <c r="M24" s="9">
        <f>$B24*'Kroger Payments'!K$19</f>
        <v>2186.7612902636502</v>
      </c>
      <c r="N24" s="9">
        <f>$B24*'Kroger Payments'!L$19</f>
        <v>2186.7612902636502</v>
      </c>
      <c r="O24" s="9">
        <f>$B24*'Kroger Payments'!M$19</f>
        <v>2186.7612904641032</v>
      </c>
      <c r="P24" s="7">
        <f t="shared" si="1"/>
        <v>23289.007741508321</v>
      </c>
    </row>
    <row r="25" spans="1:16" x14ac:dyDescent="0.35">
      <c r="A25" s="3" t="s">
        <v>36</v>
      </c>
      <c r="B25" s="16">
        <v>1.1009022938000001E-2</v>
      </c>
      <c r="C25" s="8" t="s">
        <v>36</v>
      </c>
      <c r="D25" s="8" t="str">
        <f t="shared" si="0"/>
        <v>No</v>
      </c>
      <c r="E25" s="9">
        <f>$B25*'Kroger Payments'!C$19</f>
        <v>19925.374846721465</v>
      </c>
      <c r="F25" s="9">
        <f>$B25*'Kroger Payments'!D$19</f>
        <v>19925.374846721465</v>
      </c>
      <c r="G25" s="9">
        <f>$B25*'Kroger Payments'!E$19</f>
        <v>19925.374846721465</v>
      </c>
      <c r="H25" s="9">
        <f>$B25*'Kroger Payments'!F$19</f>
        <v>19925.374846721465</v>
      </c>
      <c r="I25" s="9">
        <f>$B25*'Kroger Payments'!G$19</f>
        <v>19925.374846721465</v>
      </c>
      <c r="J25" s="9">
        <f>$B25*'Kroger Payments'!H$19</f>
        <v>19925.374846721465</v>
      </c>
      <c r="K25" s="9">
        <f>$B25*'Kroger Payments'!I$19</f>
        <v>19925.374846721465</v>
      </c>
      <c r="L25" s="9">
        <f>$B25*'Kroger Payments'!J$19</f>
        <v>20974.078786022597</v>
      </c>
      <c r="M25" s="9">
        <f>$B25*'Kroger Payments'!K$19</f>
        <v>20974.078786022597</v>
      </c>
      <c r="N25" s="9">
        <f>$B25*'Kroger Payments'!L$19</f>
        <v>20974.078786022597</v>
      </c>
      <c r="O25" s="9">
        <f>$B25*'Kroger Payments'!M$19</f>
        <v>20974.078787945218</v>
      </c>
      <c r="P25" s="7">
        <f t="shared" si="1"/>
        <v>223373.93907306326</v>
      </c>
    </row>
    <row r="26" spans="1:16" x14ac:dyDescent="0.35">
      <c r="A26" s="3" t="s">
        <v>45</v>
      </c>
      <c r="B26" s="16">
        <v>4.1259234300000002E-4</v>
      </c>
      <c r="C26" s="8" t="s">
        <v>46</v>
      </c>
      <c r="D26" s="8" t="str">
        <f t="shared" si="0"/>
        <v>No</v>
      </c>
      <c r="E26" s="9">
        <f>$B26*'Kroger Payments'!C$19</f>
        <v>746.75628704390613</v>
      </c>
      <c r="F26" s="9">
        <f>$B26*'Kroger Payments'!D$19</f>
        <v>746.75628704390613</v>
      </c>
      <c r="G26" s="9">
        <f>$B26*'Kroger Payments'!E$19</f>
        <v>746.75628704390613</v>
      </c>
      <c r="H26" s="9">
        <f>$B26*'Kroger Payments'!F$19</f>
        <v>746.75628704390613</v>
      </c>
      <c r="I26" s="9">
        <f>$B26*'Kroger Payments'!G$19</f>
        <v>746.75628704390613</v>
      </c>
      <c r="J26" s="9">
        <f>$B26*'Kroger Payments'!H$19</f>
        <v>746.75628704390613</v>
      </c>
      <c r="K26" s="9">
        <f>$B26*'Kroger Payments'!I$19</f>
        <v>746.75628704390613</v>
      </c>
      <c r="L26" s="9">
        <f>$B26*'Kroger Payments'!J$19</f>
        <v>786.05924951990119</v>
      </c>
      <c r="M26" s="9">
        <f>$B26*'Kroger Payments'!K$19</f>
        <v>786.05924951990119</v>
      </c>
      <c r="N26" s="9">
        <f>$B26*'Kroger Payments'!L$19</f>
        <v>786.05924951990119</v>
      </c>
      <c r="O26" s="9">
        <f>$B26*'Kroger Payments'!M$19</f>
        <v>786.05924959195659</v>
      </c>
      <c r="P26" s="7">
        <f t="shared" si="1"/>
        <v>8371.5310074590052</v>
      </c>
    </row>
    <row r="27" spans="1:16" x14ac:dyDescent="0.35">
      <c r="A27" s="3" t="s">
        <v>47</v>
      </c>
      <c r="B27" s="16">
        <v>9.0724095000000002E-4</v>
      </c>
      <c r="C27" s="8" t="s">
        <v>48</v>
      </c>
      <c r="D27" s="8" t="str">
        <f t="shared" si="0"/>
        <v>No</v>
      </c>
      <c r="E27" s="9">
        <f>$B27*'Kroger Payments'!C$19</f>
        <v>1642.027281335626</v>
      </c>
      <c r="F27" s="9">
        <f>$B27*'Kroger Payments'!D$19</f>
        <v>1642.027281335626</v>
      </c>
      <c r="G27" s="9">
        <f>$B27*'Kroger Payments'!E$19</f>
        <v>1642.027281335626</v>
      </c>
      <c r="H27" s="9">
        <f>$B27*'Kroger Payments'!F$19</f>
        <v>1642.027281335626</v>
      </c>
      <c r="I27" s="9">
        <f>$B27*'Kroger Payments'!G$19</f>
        <v>1642.027281335626</v>
      </c>
      <c r="J27" s="9">
        <f>$B27*'Kroger Payments'!H$19</f>
        <v>1642.027281335626</v>
      </c>
      <c r="K27" s="9">
        <f>$B27*'Kroger Payments'!I$19</f>
        <v>1642.027281335626</v>
      </c>
      <c r="L27" s="9">
        <f>$B27*'Kroger Payments'!J$19</f>
        <v>1728.4497698269747</v>
      </c>
      <c r="M27" s="9">
        <f>$B27*'Kroger Payments'!K$19</f>
        <v>1728.4497698269747</v>
      </c>
      <c r="N27" s="9">
        <f>$B27*'Kroger Payments'!L$19</f>
        <v>1728.4497698269747</v>
      </c>
      <c r="O27" s="9">
        <f>$B27*'Kroger Payments'!M$19</f>
        <v>1728.449769985416</v>
      </c>
      <c r="P27" s="7">
        <f t="shared" si="1"/>
        <v>18407.990048815722</v>
      </c>
    </row>
    <row r="28" spans="1:16" x14ac:dyDescent="0.35">
      <c r="A28" s="3" t="s">
        <v>49</v>
      </c>
      <c r="B28" s="16">
        <v>1.392597323E-3</v>
      </c>
      <c r="C28" s="8" t="s">
        <v>49</v>
      </c>
      <c r="D28" s="8" t="str">
        <f t="shared" si="0"/>
        <v>No</v>
      </c>
      <c r="E28" s="9">
        <f>$B28*'Kroger Payments'!C$19</f>
        <v>2520.480139571478</v>
      </c>
      <c r="F28" s="9">
        <f>$B28*'Kroger Payments'!D$19</f>
        <v>2520.480139571478</v>
      </c>
      <c r="G28" s="9">
        <f>$B28*'Kroger Payments'!E$19</f>
        <v>2520.480139571478</v>
      </c>
      <c r="H28" s="9">
        <f>$B28*'Kroger Payments'!F$19</f>
        <v>2520.480139571478</v>
      </c>
      <c r="I28" s="9">
        <f>$B28*'Kroger Payments'!G$19</f>
        <v>2520.480139571478</v>
      </c>
      <c r="J28" s="9">
        <f>$B28*'Kroger Payments'!H$19</f>
        <v>2520.480139571478</v>
      </c>
      <c r="K28" s="9">
        <f>$B28*'Kroger Payments'!I$19</f>
        <v>2520.480139571478</v>
      </c>
      <c r="L28" s="9">
        <f>$B28*'Kroger Payments'!J$19</f>
        <v>2653.1369890226088</v>
      </c>
      <c r="M28" s="9">
        <f>$B28*'Kroger Payments'!K$19</f>
        <v>2653.1369890226088</v>
      </c>
      <c r="N28" s="9">
        <f>$B28*'Kroger Payments'!L$19</f>
        <v>2653.1369890226088</v>
      </c>
      <c r="O28" s="9">
        <f>$B28*'Kroger Payments'!M$19</f>
        <v>2653.1369892658131</v>
      </c>
      <c r="P28" s="7">
        <f t="shared" si="1"/>
        <v>28255.908933333987</v>
      </c>
    </row>
    <row r="29" spans="1:16" x14ac:dyDescent="0.35">
      <c r="A29" s="3" t="s">
        <v>34</v>
      </c>
      <c r="B29" s="16">
        <v>3.5894104399999998E-4</v>
      </c>
      <c r="C29" s="8" t="s">
        <v>50</v>
      </c>
      <c r="D29" s="8" t="str">
        <f t="shared" si="0"/>
        <v>No</v>
      </c>
      <c r="E29" s="9">
        <f>$B29*'Kroger Payments'!C$19</f>
        <v>649.65209808826557</v>
      </c>
      <c r="F29" s="9">
        <f>$B29*'Kroger Payments'!D$19</f>
        <v>649.65209808826557</v>
      </c>
      <c r="G29" s="9">
        <f>$B29*'Kroger Payments'!E$19</f>
        <v>649.65209808826557</v>
      </c>
      <c r="H29" s="9">
        <f>$B29*'Kroger Payments'!F$19</f>
        <v>649.65209808826557</v>
      </c>
      <c r="I29" s="9">
        <f>$B29*'Kroger Payments'!G$19</f>
        <v>649.65209808826557</v>
      </c>
      <c r="J29" s="9">
        <f>$B29*'Kroger Payments'!H$19</f>
        <v>649.65209808826557</v>
      </c>
      <c r="K29" s="9">
        <f>$B29*'Kroger Payments'!I$19</f>
        <v>649.65209808826557</v>
      </c>
      <c r="L29" s="9">
        <f>$B29*'Kroger Payments'!J$19</f>
        <v>683.84431377712167</v>
      </c>
      <c r="M29" s="9">
        <f>$B29*'Kroger Payments'!K$19</f>
        <v>683.84431377712167</v>
      </c>
      <c r="N29" s="9">
        <f>$B29*'Kroger Payments'!L$19</f>
        <v>683.84431377712167</v>
      </c>
      <c r="O29" s="9">
        <f>$B29*'Kroger Payments'!M$19</f>
        <v>683.84431383980734</v>
      </c>
      <c r="P29" s="7">
        <f t="shared" si="1"/>
        <v>7282.9419417890322</v>
      </c>
    </row>
    <row r="30" spans="1:16" x14ac:dyDescent="0.35">
      <c r="A30" s="3" t="s">
        <v>47</v>
      </c>
      <c r="B30" s="16">
        <v>1.2815190059E-2</v>
      </c>
      <c r="C30" s="8" t="s">
        <v>47</v>
      </c>
      <c r="D30" s="8" t="str">
        <f t="shared" si="0"/>
        <v>No</v>
      </c>
      <c r="E30" s="9">
        <f>$B30*'Kroger Payments'!C$19</f>
        <v>23194.380381947165</v>
      </c>
      <c r="F30" s="9">
        <f>$B30*'Kroger Payments'!D$19</f>
        <v>23194.380381947165</v>
      </c>
      <c r="G30" s="9">
        <f>$B30*'Kroger Payments'!E$19</f>
        <v>23194.380381947165</v>
      </c>
      <c r="H30" s="9">
        <f>$B30*'Kroger Payments'!F$19</f>
        <v>23194.380381947165</v>
      </c>
      <c r="I30" s="9">
        <f>$B30*'Kroger Payments'!G$19</f>
        <v>23194.380381947165</v>
      </c>
      <c r="J30" s="9">
        <f>$B30*'Kroger Payments'!H$19</f>
        <v>23194.380381947165</v>
      </c>
      <c r="K30" s="9">
        <f>$B30*'Kroger Payments'!I$19</f>
        <v>23194.380381947165</v>
      </c>
      <c r="L30" s="9">
        <f>$B30*'Kroger Payments'!J$19</f>
        <v>24415.137244154914</v>
      </c>
      <c r="M30" s="9">
        <f>$B30*'Kroger Payments'!K$19</f>
        <v>24415.137244154914</v>
      </c>
      <c r="N30" s="9">
        <f>$B30*'Kroger Payments'!L$19</f>
        <v>24415.137244154914</v>
      </c>
      <c r="O30" s="9">
        <f>$B30*'Kroger Payments'!M$19</f>
        <v>24415.137246392966</v>
      </c>
      <c r="P30" s="7">
        <f t="shared" si="1"/>
        <v>260021.21165248784</v>
      </c>
    </row>
    <row r="31" spans="1:16" x14ac:dyDescent="0.35">
      <c r="A31" s="3" t="s">
        <v>34</v>
      </c>
      <c r="B31" s="16">
        <v>4.6003813500000002E-4</v>
      </c>
      <c r="C31" s="8" t="s">
        <v>51</v>
      </c>
      <c r="D31" s="8" t="str">
        <f t="shared" si="0"/>
        <v>No</v>
      </c>
      <c r="E31" s="9">
        <f>$B31*'Kroger Payments'!C$19</f>
        <v>832.62904758075751</v>
      </c>
      <c r="F31" s="9">
        <f>$B31*'Kroger Payments'!D$19</f>
        <v>832.62904758075751</v>
      </c>
      <c r="G31" s="9">
        <f>$B31*'Kroger Payments'!E$19</f>
        <v>832.62904758075751</v>
      </c>
      <c r="H31" s="9">
        <f>$B31*'Kroger Payments'!F$19</f>
        <v>832.62904758075751</v>
      </c>
      <c r="I31" s="9">
        <f>$B31*'Kroger Payments'!G$19</f>
        <v>832.62904758075751</v>
      </c>
      <c r="J31" s="9">
        <f>$B31*'Kroger Payments'!H$19</f>
        <v>832.62904758075751</v>
      </c>
      <c r="K31" s="9">
        <f>$B31*'Kroger Payments'!I$19</f>
        <v>832.62904758075751</v>
      </c>
      <c r="L31" s="9">
        <f>$B31*'Kroger Payments'!J$19</f>
        <v>876.45162903237645</v>
      </c>
      <c r="M31" s="9">
        <f>$B31*'Kroger Payments'!K$19</f>
        <v>876.45162903237645</v>
      </c>
      <c r="N31" s="9">
        <f>$B31*'Kroger Payments'!L$19</f>
        <v>876.45162903237645</v>
      </c>
      <c r="O31" s="9">
        <f>$B31*'Kroger Payments'!M$19</f>
        <v>876.4516291127178</v>
      </c>
      <c r="P31" s="7">
        <f t="shared" si="1"/>
        <v>9334.2098492751502</v>
      </c>
    </row>
    <row r="32" spans="1:16" x14ac:dyDescent="0.35">
      <c r="A32" s="3" t="s">
        <v>52</v>
      </c>
      <c r="B32" s="16">
        <v>2.45076907E-4</v>
      </c>
      <c r="C32" s="8" t="s">
        <v>53</v>
      </c>
      <c r="D32" s="8" t="str">
        <f t="shared" si="0"/>
        <v>No</v>
      </c>
      <c r="E32" s="9">
        <f>$B32*'Kroger Payments'!C$19</f>
        <v>443.56790477695483</v>
      </c>
      <c r="F32" s="9">
        <f>$B32*'Kroger Payments'!D$19</f>
        <v>443.56790477695483</v>
      </c>
      <c r="G32" s="9">
        <f>$B32*'Kroger Payments'!E$19</f>
        <v>443.56790477695483</v>
      </c>
      <c r="H32" s="9">
        <f>$B32*'Kroger Payments'!F$19</f>
        <v>443.56790477695483</v>
      </c>
      <c r="I32" s="9">
        <f>$B32*'Kroger Payments'!G$19</f>
        <v>443.56790477695483</v>
      </c>
      <c r="J32" s="9">
        <f>$B32*'Kroger Payments'!H$19</f>
        <v>443.56790477695483</v>
      </c>
      <c r="K32" s="9">
        <f>$B32*'Kroger Payments'!I$19</f>
        <v>443.56790477695483</v>
      </c>
      <c r="L32" s="9">
        <f>$B32*'Kroger Payments'!J$19</f>
        <v>466.91358397574191</v>
      </c>
      <c r="M32" s="9">
        <f>$B32*'Kroger Payments'!K$19</f>
        <v>466.91358397574191</v>
      </c>
      <c r="N32" s="9">
        <f>$B32*'Kroger Payments'!L$19</f>
        <v>466.91358397574191</v>
      </c>
      <c r="O32" s="9">
        <f>$B32*'Kroger Payments'!M$19</f>
        <v>466.91358401854234</v>
      </c>
      <c r="P32" s="7">
        <f t="shared" si="1"/>
        <v>4972.6296693844524</v>
      </c>
    </row>
    <row r="33" spans="1:16" x14ac:dyDescent="0.35">
      <c r="A33" s="3" t="s">
        <v>34</v>
      </c>
      <c r="B33" s="16">
        <v>1.0310048190000001E-3</v>
      </c>
      <c r="C33" s="8" t="s">
        <v>54</v>
      </c>
      <c r="D33" s="8" t="str">
        <f t="shared" si="0"/>
        <v>No</v>
      </c>
      <c r="E33" s="9">
        <f>$B33*'Kroger Payments'!C$19</f>
        <v>1866.0291292919474</v>
      </c>
      <c r="F33" s="9">
        <f>$B33*'Kroger Payments'!D$19</f>
        <v>1866.0291292919474</v>
      </c>
      <c r="G33" s="9">
        <f>$B33*'Kroger Payments'!E$19</f>
        <v>1866.0291292919474</v>
      </c>
      <c r="H33" s="9">
        <f>$B33*'Kroger Payments'!F$19</f>
        <v>1866.0291292919474</v>
      </c>
      <c r="I33" s="9">
        <f>$B33*'Kroger Payments'!G$19</f>
        <v>1866.0291292919474</v>
      </c>
      <c r="J33" s="9">
        <f>$B33*'Kroger Payments'!H$19</f>
        <v>1866.0291292919474</v>
      </c>
      <c r="K33" s="9">
        <f>$B33*'Kroger Payments'!I$19</f>
        <v>1866.0291292919474</v>
      </c>
      <c r="L33" s="9">
        <f>$B33*'Kroger Payments'!J$19</f>
        <v>1964.2411887283658</v>
      </c>
      <c r="M33" s="9">
        <f>$B33*'Kroger Payments'!K$19</f>
        <v>1964.2411887283658</v>
      </c>
      <c r="N33" s="9">
        <f>$B33*'Kroger Payments'!L$19</f>
        <v>1964.2411887283658</v>
      </c>
      <c r="O33" s="9">
        <f>$B33*'Kroger Payments'!M$19</f>
        <v>1964.241188908421</v>
      </c>
      <c r="P33" s="7">
        <f t="shared" si="1"/>
        <v>20919.168660137148</v>
      </c>
    </row>
    <row r="34" spans="1:16" x14ac:dyDescent="0.35">
      <c r="A34" s="3" t="s">
        <v>55</v>
      </c>
      <c r="B34" s="16">
        <v>0</v>
      </c>
      <c r="C34" s="8" t="s">
        <v>56</v>
      </c>
      <c r="D34" s="8"/>
      <c r="E34" s="9">
        <f>$B34*'Kroger Payments'!C$19</f>
        <v>0</v>
      </c>
      <c r="F34" s="9">
        <f>$B34*'Kroger Payments'!D$19</f>
        <v>0</v>
      </c>
      <c r="G34" s="9">
        <f>$B34*'Kroger Payments'!E$19</f>
        <v>0</v>
      </c>
      <c r="H34" s="9">
        <f>$B34*'Kroger Payments'!F$19</f>
        <v>0</v>
      </c>
      <c r="I34" s="9">
        <f>$B34*'Kroger Payments'!G$19</f>
        <v>0</v>
      </c>
      <c r="J34" s="9">
        <f>$B34*'Kroger Payments'!H$19</f>
        <v>0</v>
      </c>
      <c r="K34" s="9">
        <f>$B34*'Kroger Payments'!I$19</f>
        <v>0</v>
      </c>
      <c r="L34" s="9">
        <f>$B34*'Kroger Payments'!J$19</f>
        <v>0</v>
      </c>
      <c r="M34" s="9">
        <f>$B34*'Kroger Payments'!K$19</f>
        <v>0</v>
      </c>
      <c r="N34" s="9">
        <f>$B34*'Kroger Payments'!L$19</f>
        <v>0</v>
      </c>
      <c r="O34" s="9">
        <f>$B34*'Kroger Payments'!M$19</f>
        <v>0</v>
      </c>
      <c r="P34" s="7">
        <f t="shared" si="1"/>
        <v>0</v>
      </c>
    </row>
    <row r="35" spans="1:16" x14ac:dyDescent="0.35">
      <c r="A35" s="3" t="s">
        <v>34</v>
      </c>
      <c r="B35" s="16">
        <v>2.3955372859999998E-3</v>
      </c>
      <c r="C35" s="8" t="s">
        <v>57</v>
      </c>
      <c r="D35" s="8" t="str">
        <f t="shared" ref="D35:D68" si="2">IF(B35&lt;0.000011, "Yes", "No")</f>
        <v>No</v>
      </c>
      <c r="E35" s="9">
        <f>$B35*'Kroger Payments'!C$19</f>
        <v>4335.7143183061826</v>
      </c>
      <c r="F35" s="9">
        <f>$B35*'Kroger Payments'!D$19</f>
        <v>4335.7143183061826</v>
      </c>
      <c r="G35" s="9">
        <f>$B35*'Kroger Payments'!E$19</f>
        <v>4335.7143183061826</v>
      </c>
      <c r="H35" s="9">
        <f>$B35*'Kroger Payments'!F$19</f>
        <v>4335.7143183061826</v>
      </c>
      <c r="I35" s="9">
        <f>$B35*'Kroger Payments'!G$19</f>
        <v>4335.7143183061826</v>
      </c>
      <c r="J35" s="9">
        <f>$B35*'Kroger Payments'!H$19</f>
        <v>4335.7143183061826</v>
      </c>
      <c r="K35" s="9">
        <f>$B35*'Kroger Payments'!I$19</f>
        <v>4335.7143183061826</v>
      </c>
      <c r="L35" s="9">
        <f>$B35*'Kroger Payments'!J$19</f>
        <v>4563.9098087433504</v>
      </c>
      <c r="M35" s="9">
        <f>$B35*'Kroger Payments'!K$19</f>
        <v>4563.9098087433504</v>
      </c>
      <c r="N35" s="9">
        <f>$B35*'Kroger Payments'!L$19</f>
        <v>4563.9098087433504</v>
      </c>
      <c r="O35" s="9">
        <f>$B35*'Kroger Payments'!M$19</f>
        <v>4563.9098091617088</v>
      </c>
      <c r="P35" s="7">
        <f t="shared" si="1"/>
        <v>48605.639463535044</v>
      </c>
    </row>
    <row r="36" spans="1:16" x14ac:dyDescent="0.35">
      <c r="A36" s="3" t="s">
        <v>58</v>
      </c>
      <c r="B36" s="16">
        <v>3.4134115770000002E-3</v>
      </c>
      <c r="C36" s="8" t="s">
        <v>58</v>
      </c>
      <c r="D36" s="8" t="str">
        <f t="shared" si="2"/>
        <v>No</v>
      </c>
      <c r="E36" s="9">
        <f>$B36*'Kroger Payments'!C$19</f>
        <v>6177.9783329454667</v>
      </c>
      <c r="F36" s="9">
        <f>$B36*'Kroger Payments'!D$19</f>
        <v>6177.9783329454667</v>
      </c>
      <c r="G36" s="9">
        <f>$B36*'Kroger Payments'!E$19</f>
        <v>6177.9783329454667</v>
      </c>
      <c r="H36" s="9">
        <f>$B36*'Kroger Payments'!F$19</f>
        <v>6177.9783329454667</v>
      </c>
      <c r="I36" s="9">
        <f>$B36*'Kroger Payments'!G$19</f>
        <v>6177.9783329454667</v>
      </c>
      <c r="J36" s="9">
        <f>$B36*'Kroger Payments'!H$19</f>
        <v>6177.9783329454667</v>
      </c>
      <c r="K36" s="9">
        <f>$B36*'Kroger Payments'!I$19</f>
        <v>6177.9783329454667</v>
      </c>
      <c r="L36" s="9">
        <f>$B36*'Kroger Payments'!J$19</f>
        <v>6503.1350873110177</v>
      </c>
      <c r="M36" s="9">
        <f>$B36*'Kroger Payments'!K$19</f>
        <v>6503.1350873110177</v>
      </c>
      <c r="N36" s="9">
        <f>$B36*'Kroger Payments'!L$19</f>
        <v>6503.1350873110177</v>
      </c>
      <c r="O36" s="9">
        <f>$B36*'Kroger Payments'!M$19</f>
        <v>6503.1350879071388</v>
      </c>
      <c r="P36" s="7">
        <f t="shared" si="1"/>
        <v>69258.388680458462</v>
      </c>
    </row>
    <row r="37" spans="1:16" x14ac:dyDescent="0.35">
      <c r="A37" s="3" t="s">
        <v>34</v>
      </c>
      <c r="B37" s="16">
        <v>2.9846829000000001E-4</v>
      </c>
      <c r="C37" s="8" t="s">
        <v>59</v>
      </c>
      <c r="D37" s="8" t="str">
        <f t="shared" si="2"/>
        <v>No</v>
      </c>
      <c r="E37" s="9">
        <f>$B37*'Kroger Payments'!C$19</f>
        <v>540.20166835898794</v>
      </c>
      <c r="F37" s="9">
        <f>$B37*'Kroger Payments'!D$19</f>
        <v>540.20166835898794</v>
      </c>
      <c r="G37" s="9">
        <f>$B37*'Kroger Payments'!E$19</f>
        <v>540.20166835898794</v>
      </c>
      <c r="H37" s="9">
        <f>$B37*'Kroger Payments'!F$19</f>
        <v>540.20166835898794</v>
      </c>
      <c r="I37" s="9">
        <f>$B37*'Kroger Payments'!G$19</f>
        <v>540.20166835898794</v>
      </c>
      <c r="J37" s="9">
        <f>$B37*'Kroger Payments'!H$19</f>
        <v>540.20166835898794</v>
      </c>
      <c r="K37" s="9">
        <f>$B37*'Kroger Payments'!I$19</f>
        <v>540.20166835898794</v>
      </c>
      <c r="L37" s="9">
        <f>$B37*'Kroger Payments'!J$19</f>
        <v>568.63333511472422</v>
      </c>
      <c r="M37" s="9">
        <f>$B37*'Kroger Payments'!K$19</f>
        <v>568.63333511472422</v>
      </c>
      <c r="N37" s="9">
        <f>$B37*'Kroger Payments'!L$19</f>
        <v>568.63333511472422</v>
      </c>
      <c r="O37" s="9">
        <f>$B37*'Kroger Payments'!M$19</f>
        <v>568.63333516684895</v>
      </c>
      <c r="P37" s="7">
        <f t="shared" si="1"/>
        <v>6055.9450190239377</v>
      </c>
    </row>
    <row r="38" spans="1:16" x14ac:dyDescent="0.35">
      <c r="A38" s="3" t="s">
        <v>60</v>
      </c>
      <c r="B38" s="16">
        <v>1.0123659000000001E-5</v>
      </c>
      <c r="C38" s="8" t="s">
        <v>61</v>
      </c>
      <c r="D38" s="8" t="str">
        <f t="shared" si="2"/>
        <v>Yes</v>
      </c>
      <c r="E38" s="9">
        <f>$B38*'Kroger Payments'!C$19</f>
        <v>18.322943056019398</v>
      </c>
      <c r="F38" s="9">
        <f>$B38*'Kroger Payments'!D$19</f>
        <v>18.322943056019398</v>
      </c>
      <c r="G38" s="9">
        <f>$B38*'Kroger Payments'!E$19</f>
        <v>18.322943056019398</v>
      </c>
      <c r="H38" s="9">
        <f>$B38*'Kroger Payments'!F$19</f>
        <v>18.322943056019398</v>
      </c>
      <c r="I38" s="9">
        <f>$B38*'Kroger Payments'!G$19</f>
        <v>18.322943056019398</v>
      </c>
      <c r="J38" s="9">
        <f>$B38*'Kroger Payments'!H$19</f>
        <v>18.322943056019398</v>
      </c>
      <c r="K38" s="9">
        <f>$B38*'Kroger Payments'!I$19</f>
        <v>18.322943056019398</v>
      </c>
      <c r="L38" s="9">
        <f>$B38*'Kroger Payments'!J$19</f>
        <v>19.287308480020421</v>
      </c>
      <c r="M38" s="9">
        <f>$B38*'Kroger Payments'!K$19</f>
        <v>19.287308480020421</v>
      </c>
      <c r="N38" s="9">
        <f>$B38*'Kroger Payments'!L$19</f>
        <v>19.287308480020421</v>
      </c>
      <c r="O38" s="9">
        <f>$B38*'Kroger Payments'!M$19</f>
        <v>19.287308481788422</v>
      </c>
      <c r="P38" s="7">
        <f t="shared" si="1"/>
        <v>205.40983531398544</v>
      </c>
    </row>
    <row r="39" spans="1:16" x14ac:dyDescent="0.35">
      <c r="A39" s="3" t="s">
        <v>22</v>
      </c>
      <c r="B39" s="16">
        <v>1.0352382829999999E-3</v>
      </c>
      <c r="C39" s="8" t="s">
        <v>62</v>
      </c>
      <c r="D39" s="8" t="str">
        <f t="shared" si="2"/>
        <v>No</v>
      </c>
      <c r="E39" s="9">
        <f>$B39*'Kroger Payments'!C$19</f>
        <v>1873.691331248938</v>
      </c>
      <c r="F39" s="9">
        <f>$B39*'Kroger Payments'!D$19</f>
        <v>1873.691331248938</v>
      </c>
      <c r="G39" s="9">
        <f>$B39*'Kroger Payments'!E$19</f>
        <v>1873.691331248938</v>
      </c>
      <c r="H39" s="9">
        <f>$B39*'Kroger Payments'!F$19</f>
        <v>1873.691331248938</v>
      </c>
      <c r="I39" s="9">
        <f>$B39*'Kroger Payments'!G$19</f>
        <v>1873.691331248938</v>
      </c>
      <c r="J39" s="9">
        <f>$B39*'Kroger Payments'!H$19</f>
        <v>1873.691331248938</v>
      </c>
      <c r="K39" s="9">
        <f>$B39*'Kroger Payments'!I$19</f>
        <v>1873.691331248938</v>
      </c>
      <c r="L39" s="9">
        <f>$B39*'Kroger Payments'!J$19</f>
        <v>1972.3066644725664</v>
      </c>
      <c r="M39" s="9">
        <f>$B39*'Kroger Payments'!K$19</f>
        <v>1972.3066644725664</v>
      </c>
      <c r="N39" s="9">
        <f>$B39*'Kroger Payments'!L$19</f>
        <v>1972.3066644725664</v>
      </c>
      <c r="O39" s="9">
        <f>$B39*'Kroger Payments'!M$19</f>
        <v>1972.3066646533612</v>
      </c>
      <c r="P39" s="7">
        <f t="shared" si="1"/>
        <v>21005.065976813628</v>
      </c>
    </row>
    <row r="40" spans="1:16" x14ac:dyDescent="0.35">
      <c r="A40" s="3" t="s">
        <v>63</v>
      </c>
      <c r="B40" s="16">
        <v>3.31836857E-4</v>
      </c>
      <c r="C40" s="8" t="s">
        <v>64</v>
      </c>
      <c r="D40" s="8" t="str">
        <f t="shared" si="2"/>
        <v>No</v>
      </c>
      <c r="E40" s="9">
        <f>$B40*'Kroger Payments'!C$19</f>
        <v>600.59587494002437</v>
      </c>
      <c r="F40" s="9">
        <f>$B40*'Kroger Payments'!D$19</f>
        <v>600.59587494002437</v>
      </c>
      <c r="G40" s="9">
        <f>$B40*'Kroger Payments'!E$19</f>
        <v>600.59587494002437</v>
      </c>
      <c r="H40" s="9">
        <f>$B40*'Kroger Payments'!F$19</f>
        <v>600.59587494002437</v>
      </c>
      <c r="I40" s="9">
        <f>$B40*'Kroger Payments'!G$19</f>
        <v>600.59587494002437</v>
      </c>
      <c r="J40" s="9">
        <f>$B40*'Kroger Payments'!H$19</f>
        <v>600.59587494002437</v>
      </c>
      <c r="K40" s="9">
        <f>$B40*'Kroger Payments'!I$19</f>
        <v>600.59587494002437</v>
      </c>
      <c r="L40" s="9">
        <f>$B40*'Kroger Payments'!J$19</f>
        <v>632.20618414739408</v>
      </c>
      <c r="M40" s="9">
        <f>$B40*'Kroger Payments'!K$19</f>
        <v>632.20618414739408</v>
      </c>
      <c r="N40" s="9">
        <f>$B40*'Kroger Payments'!L$19</f>
        <v>632.20618414739408</v>
      </c>
      <c r="O40" s="9">
        <f>$B40*'Kroger Payments'!M$19</f>
        <v>632.20618420534629</v>
      </c>
      <c r="P40" s="7">
        <f t="shared" si="1"/>
        <v>6732.9958612276996</v>
      </c>
    </row>
    <row r="41" spans="1:16" x14ac:dyDescent="0.35">
      <c r="A41" s="3" t="s">
        <v>14</v>
      </c>
      <c r="B41" s="16">
        <v>1.4359335399999999E-4</v>
      </c>
      <c r="C41" s="8" t="s">
        <v>65</v>
      </c>
      <c r="D41" s="8" t="str">
        <f t="shared" si="2"/>
        <v>No</v>
      </c>
      <c r="E41" s="9">
        <f>$B41*'Kroger Payments'!C$19</f>
        <v>259.89149264755309</v>
      </c>
      <c r="F41" s="9">
        <f>$B41*'Kroger Payments'!D$19</f>
        <v>259.89149264755309</v>
      </c>
      <c r="G41" s="9">
        <f>$B41*'Kroger Payments'!E$19</f>
        <v>259.89149264755309</v>
      </c>
      <c r="H41" s="9">
        <f>$B41*'Kroger Payments'!F$19</f>
        <v>259.89149264755309</v>
      </c>
      <c r="I41" s="9">
        <f>$B41*'Kroger Payments'!G$19</f>
        <v>259.89149264755309</v>
      </c>
      <c r="J41" s="9">
        <f>$B41*'Kroger Payments'!H$19</f>
        <v>259.89149264755309</v>
      </c>
      <c r="K41" s="9">
        <f>$B41*'Kroger Payments'!I$19</f>
        <v>259.89149264755309</v>
      </c>
      <c r="L41" s="9">
        <f>$B41*'Kroger Payments'!J$19</f>
        <v>273.56999226058224</v>
      </c>
      <c r="M41" s="9">
        <f>$B41*'Kroger Payments'!K$19</f>
        <v>273.56999226058224</v>
      </c>
      <c r="N41" s="9">
        <f>$B41*'Kroger Payments'!L$19</f>
        <v>273.56999226058224</v>
      </c>
      <c r="O41" s="9">
        <f>$B41*'Kroger Payments'!M$19</f>
        <v>273.56999228565945</v>
      </c>
      <c r="P41" s="7">
        <f t="shared" si="1"/>
        <v>2913.5204176002781</v>
      </c>
    </row>
    <row r="42" spans="1:16" x14ac:dyDescent="0.35">
      <c r="A42" s="3" t="s">
        <v>66</v>
      </c>
      <c r="B42" s="16">
        <v>9.9215507299999992E-4</v>
      </c>
      <c r="C42" s="8" t="s">
        <v>67</v>
      </c>
      <c r="D42" s="8" t="str">
        <f t="shared" si="2"/>
        <v>No</v>
      </c>
      <c r="E42" s="9">
        <f>$B42*'Kroger Payments'!C$19</f>
        <v>1795.714465028876</v>
      </c>
      <c r="F42" s="9">
        <f>$B42*'Kroger Payments'!D$19</f>
        <v>1795.714465028876</v>
      </c>
      <c r="G42" s="9">
        <f>$B42*'Kroger Payments'!E$19</f>
        <v>1795.714465028876</v>
      </c>
      <c r="H42" s="9">
        <f>$B42*'Kroger Payments'!F$19</f>
        <v>1795.714465028876</v>
      </c>
      <c r="I42" s="9">
        <f>$B42*'Kroger Payments'!G$19</f>
        <v>1795.714465028876</v>
      </c>
      <c r="J42" s="9">
        <f>$B42*'Kroger Payments'!H$19</f>
        <v>1795.714465028876</v>
      </c>
      <c r="K42" s="9">
        <f>$B42*'Kroger Payments'!I$19</f>
        <v>1795.714465028876</v>
      </c>
      <c r="L42" s="9">
        <f>$B42*'Kroger Payments'!J$19</f>
        <v>1890.2257526619749</v>
      </c>
      <c r="M42" s="9">
        <f>$B42*'Kroger Payments'!K$19</f>
        <v>1890.2257526619749</v>
      </c>
      <c r="N42" s="9">
        <f>$B42*'Kroger Payments'!L$19</f>
        <v>1890.2257526619749</v>
      </c>
      <c r="O42" s="9">
        <f>$B42*'Kroger Payments'!M$19</f>
        <v>1890.2257528352457</v>
      </c>
      <c r="P42" s="7">
        <f t="shared" si="1"/>
        <v>20130.904266023299</v>
      </c>
    </row>
    <row r="43" spans="1:16" x14ac:dyDescent="0.35">
      <c r="A43" s="3" t="s">
        <v>14</v>
      </c>
      <c r="B43" s="16">
        <v>4.6151897E-5</v>
      </c>
      <c r="C43" s="8" t="s">
        <v>68</v>
      </c>
      <c r="D43" s="8" t="str">
        <f t="shared" si="2"/>
        <v>No</v>
      </c>
      <c r="E43" s="9">
        <f>$B43*'Kroger Payments'!C$19</f>
        <v>83.53092302479493</v>
      </c>
      <c r="F43" s="9">
        <f>$B43*'Kroger Payments'!D$19</f>
        <v>83.53092302479493</v>
      </c>
      <c r="G43" s="9">
        <f>$B43*'Kroger Payments'!E$19</f>
        <v>83.53092302479493</v>
      </c>
      <c r="H43" s="9">
        <f>$B43*'Kroger Payments'!F$19</f>
        <v>83.53092302479493</v>
      </c>
      <c r="I43" s="9">
        <f>$B43*'Kroger Payments'!G$19</f>
        <v>83.53092302479493</v>
      </c>
      <c r="J43" s="9">
        <f>$B43*'Kroger Payments'!H$19</f>
        <v>83.53092302479493</v>
      </c>
      <c r="K43" s="9">
        <f>$B43*'Kroger Payments'!I$19</f>
        <v>83.53092302479493</v>
      </c>
      <c r="L43" s="9">
        <f>$B43*'Kroger Payments'!J$19</f>
        <v>87.927287394520988</v>
      </c>
      <c r="M43" s="9">
        <f>$B43*'Kroger Payments'!K$19</f>
        <v>87.927287394520988</v>
      </c>
      <c r="N43" s="9">
        <f>$B43*'Kroger Payments'!L$19</f>
        <v>87.927287394520988</v>
      </c>
      <c r="O43" s="9">
        <f>$B43*'Kroger Payments'!M$19</f>
        <v>87.927287402580987</v>
      </c>
      <c r="P43" s="7">
        <f t="shared" si="1"/>
        <v>936.42561075970843</v>
      </c>
    </row>
    <row r="44" spans="1:16" x14ac:dyDescent="0.35">
      <c r="A44" s="3" t="s">
        <v>42</v>
      </c>
      <c r="B44" s="16">
        <v>1.6522746969E-2</v>
      </c>
      <c r="C44" s="8" t="s">
        <v>42</v>
      </c>
      <c r="D44" s="8" t="str">
        <f t="shared" si="2"/>
        <v>No</v>
      </c>
      <c r="E44" s="9">
        <f>$B44*'Kroger Payments'!C$19</f>
        <v>29904.736206741465</v>
      </c>
      <c r="F44" s="9">
        <f>$B44*'Kroger Payments'!D$19</f>
        <v>29904.736206741465</v>
      </c>
      <c r="G44" s="9">
        <f>$B44*'Kroger Payments'!E$19</f>
        <v>29904.736206741465</v>
      </c>
      <c r="H44" s="9">
        <f>$B44*'Kroger Payments'!F$19</f>
        <v>29904.736206741465</v>
      </c>
      <c r="I44" s="9">
        <f>$B44*'Kroger Payments'!G$19</f>
        <v>29904.736206741465</v>
      </c>
      <c r="J44" s="9">
        <f>$B44*'Kroger Payments'!H$19</f>
        <v>29904.736206741465</v>
      </c>
      <c r="K44" s="9">
        <f>$B44*'Kroger Payments'!I$19</f>
        <v>29904.736206741465</v>
      </c>
      <c r="L44" s="9">
        <f>$B44*'Kroger Payments'!J$19</f>
        <v>31478.669691306804</v>
      </c>
      <c r="M44" s="9">
        <f>$B44*'Kroger Payments'!K$19</f>
        <v>31478.669691306804</v>
      </c>
      <c r="N44" s="9">
        <f>$B44*'Kroger Payments'!L$19</f>
        <v>31478.669691306804</v>
      </c>
      <c r="O44" s="9">
        <f>$B44*'Kroger Payments'!M$19</f>
        <v>31478.669694192351</v>
      </c>
      <c r="P44" s="7">
        <f t="shared" si="1"/>
        <v>335247.83221530309</v>
      </c>
    </row>
    <row r="45" spans="1:16" x14ac:dyDescent="0.35">
      <c r="A45" s="3" t="s">
        <v>14</v>
      </c>
      <c r="B45" s="16">
        <v>5.5382276000000001E-5</v>
      </c>
      <c r="C45" s="8" t="s">
        <v>69</v>
      </c>
      <c r="D45" s="8" t="str">
        <f t="shared" si="2"/>
        <v>No</v>
      </c>
      <c r="E45" s="9">
        <f>$B45*'Kroger Payments'!C$19</f>
        <v>100.23710690578868</v>
      </c>
      <c r="F45" s="9">
        <f>$B45*'Kroger Payments'!D$19</f>
        <v>100.23710690578868</v>
      </c>
      <c r="G45" s="9">
        <f>$B45*'Kroger Payments'!E$19</f>
        <v>100.23710690578868</v>
      </c>
      <c r="H45" s="9">
        <f>$B45*'Kroger Payments'!F$19</f>
        <v>100.23710690578868</v>
      </c>
      <c r="I45" s="9">
        <f>$B45*'Kroger Payments'!G$19</f>
        <v>100.23710690578868</v>
      </c>
      <c r="J45" s="9">
        <f>$B45*'Kroger Payments'!H$19</f>
        <v>100.23710690578868</v>
      </c>
      <c r="K45" s="9">
        <f>$B45*'Kroger Payments'!I$19</f>
        <v>100.23710690578868</v>
      </c>
      <c r="L45" s="9">
        <f>$B45*'Kroger Payments'!J$19</f>
        <v>105.51274411135651</v>
      </c>
      <c r="M45" s="9">
        <f>$B45*'Kroger Payments'!K$19</f>
        <v>105.51274411135651</v>
      </c>
      <c r="N45" s="9">
        <f>$B45*'Kroger Payments'!L$19</f>
        <v>105.51274411135651</v>
      </c>
      <c r="O45" s="9">
        <f>$B45*'Kroger Payments'!M$19</f>
        <v>105.5127441210285</v>
      </c>
      <c r="P45" s="7">
        <f t="shared" si="1"/>
        <v>1123.7107247956187</v>
      </c>
    </row>
    <row r="46" spans="1:16" x14ac:dyDescent="0.35">
      <c r="A46" s="3" t="s">
        <v>22</v>
      </c>
      <c r="B46" s="16">
        <v>2.3530193499999999E-3</v>
      </c>
      <c r="C46" s="8" t="s">
        <v>70</v>
      </c>
      <c r="D46" s="8" t="str">
        <f t="shared" si="2"/>
        <v>No</v>
      </c>
      <c r="E46" s="9">
        <f>$B46*'Kroger Payments'!C$19</f>
        <v>4258.7605489044799</v>
      </c>
      <c r="F46" s="9">
        <f>$B46*'Kroger Payments'!D$19</f>
        <v>4258.7605489044799</v>
      </c>
      <c r="G46" s="9">
        <f>$B46*'Kroger Payments'!E$19</f>
        <v>4258.7605489044799</v>
      </c>
      <c r="H46" s="9">
        <f>$B46*'Kroger Payments'!F$19</f>
        <v>4258.7605489044799</v>
      </c>
      <c r="I46" s="9">
        <f>$B46*'Kroger Payments'!G$19</f>
        <v>4258.7605489044799</v>
      </c>
      <c r="J46" s="9">
        <f>$B46*'Kroger Payments'!H$19</f>
        <v>4258.7605489044799</v>
      </c>
      <c r="K46" s="9">
        <f>$B46*'Kroger Payments'!I$19</f>
        <v>4258.7605489044799</v>
      </c>
      <c r="L46" s="9">
        <f>$B46*'Kroger Payments'!J$19</f>
        <v>4482.905840952084</v>
      </c>
      <c r="M46" s="9">
        <f>$B46*'Kroger Payments'!K$19</f>
        <v>4482.905840952084</v>
      </c>
      <c r="N46" s="9">
        <f>$B46*'Kroger Payments'!L$19</f>
        <v>4482.905840952084</v>
      </c>
      <c r="O46" s="9">
        <f>$B46*'Kroger Payments'!M$19</f>
        <v>4482.9058413630164</v>
      </c>
      <c r="P46" s="7">
        <f t="shared" si="1"/>
        <v>47742.94720655062</v>
      </c>
    </row>
    <row r="47" spans="1:16" x14ac:dyDescent="0.35">
      <c r="A47" s="3" t="s">
        <v>14</v>
      </c>
      <c r="B47" s="16">
        <v>2.02807109E-4</v>
      </c>
      <c r="C47" s="8" t="s">
        <v>71</v>
      </c>
      <c r="D47" s="8" t="str">
        <f t="shared" si="2"/>
        <v>No</v>
      </c>
      <c r="E47" s="9">
        <f>$B47*'Kroger Payments'!C$19</f>
        <v>367.06324359235322</v>
      </c>
      <c r="F47" s="9">
        <f>$B47*'Kroger Payments'!D$19</f>
        <v>367.06324359235322</v>
      </c>
      <c r="G47" s="9">
        <f>$B47*'Kroger Payments'!E$19</f>
        <v>367.06324359235322</v>
      </c>
      <c r="H47" s="9">
        <f>$B47*'Kroger Payments'!F$19</f>
        <v>367.06324359235322</v>
      </c>
      <c r="I47" s="9">
        <f>$B47*'Kroger Payments'!G$19</f>
        <v>367.06324359235322</v>
      </c>
      <c r="J47" s="9">
        <f>$B47*'Kroger Payments'!H$19</f>
        <v>367.06324359235322</v>
      </c>
      <c r="K47" s="9">
        <f>$B47*'Kroger Payments'!I$19</f>
        <v>367.06324359235322</v>
      </c>
      <c r="L47" s="9">
        <f>$B47*'Kroger Payments'!J$19</f>
        <v>386.38236167616128</v>
      </c>
      <c r="M47" s="9">
        <f>$B47*'Kroger Payments'!K$19</f>
        <v>386.38236167616128</v>
      </c>
      <c r="N47" s="9">
        <f>$B47*'Kroger Payments'!L$19</f>
        <v>386.38236167616128</v>
      </c>
      <c r="O47" s="9">
        <f>$B47*'Kroger Payments'!M$19</f>
        <v>386.38236171157968</v>
      </c>
      <c r="P47" s="7">
        <f t="shared" si="1"/>
        <v>4114.9721518865354</v>
      </c>
    </row>
    <row r="48" spans="1:16" x14ac:dyDescent="0.35">
      <c r="A48" s="3" t="s">
        <v>72</v>
      </c>
      <c r="B48" s="16">
        <v>3.6852280289999999E-3</v>
      </c>
      <c r="C48" s="8" t="s">
        <v>72</v>
      </c>
      <c r="D48" s="8" t="str">
        <f t="shared" si="2"/>
        <v>No</v>
      </c>
      <c r="E48" s="9">
        <f>$B48*'Kroger Payments'!C$19</f>
        <v>6669.9424905376209</v>
      </c>
      <c r="F48" s="9">
        <f>$B48*'Kroger Payments'!D$19</f>
        <v>6669.9424905376209</v>
      </c>
      <c r="G48" s="9">
        <f>$B48*'Kroger Payments'!E$19</f>
        <v>6669.9424905376209</v>
      </c>
      <c r="H48" s="9">
        <f>$B48*'Kroger Payments'!F$19</f>
        <v>6669.9424905376209</v>
      </c>
      <c r="I48" s="9">
        <f>$B48*'Kroger Payments'!G$19</f>
        <v>6669.9424905376209</v>
      </c>
      <c r="J48" s="9">
        <f>$B48*'Kroger Payments'!H$19</f>
        <v>6669.9424905376209</v>
      </c>
      <c r="K48" s="9">
        <f>$B48*'Kroger Payments'!I$19</f>
        <v>6669.9424905376209</v>
      </c>
      <c r="L48" s="9">
        <f>$B48*'Kroger Payments'!J$19</f>
        <v>7020.9920953027586</v>
      </c>
      <c r="M48" s="9">
        <f>$B48*'Kroger Payments'!K$19</f>
        <v>7020.9920953027586</v>
      </c>
      <c r="N48" s="9">
        <f>$B48*'Kroger Payments'!L$19</f>
        <v>7020.9920953027586</v>
      </c>
      <c r="O48" s="9">
        <f>$B48*'Kroger Payments'!M$19</f>
        <v>7020.9920959463498</v>
      </c>
      <c r="P48" s="7">
        <f t="shared" si="1"/>
        <v>74773.565815617971</v>
      </c>
    </row>
    <row r="49" spans="1:16" x14ac:dyDescent="0.35">
      <c r="A49" s="3" t="s">
        <v>73</v>
      </c>
      <c r="B49" s="16">
        <v>1.9132661080000001E-3</v>
      </c>
      <c r="C49" s="8" t="s">
        <v>73</v>
      </c>
      <c r="D49" s="8" t="str">
        <f t="shared" si="2"/>
        <v>No</v>
      </c>
      <c r="E49" s="9">
        <f>$B49*'Kroger Payments'!C$19</f>
        <v>3462.8453949205382</v>
      </c>
      <c r="F49" s="9">
        <f>$B49*'Kroger Payments'!D$19</f>
        <v>3462.8453949205382</v>
      </c>
      <c r="G49" s="9">
        <f>$B49*'Kroger Payments'!E$19</f>
        <v>3462.8453949205382</v>
      </c>
      <c r="H49" s="9">
        <f>$B49*'Kroger Payments'!F$19</f>
        <v>3462.8453949205382</v>
      </c>
      <c r="I49" s="9">
        <f>$B49*'Kroger Payments'!G$19</f>
        <v>3462.8453949205382</v>
      </c>
      <c r="J49" s="9">
        <f>$B49*'Kroger Payments'!H$19</f>
        <v>3462.8453949205382</v>
      </c>
      <c r="K49" s="9">
        <f>$B49*'Kroger Payments'!I$19</f>
        <v>3462.8453949205382</v>
      </c>
      <c r="L49" s="9">
        <f>$B49*'Kroger Payments'!J$19</f>
        <v>3645.1004157058296</v>
      </c>
      <c r="M49" s="9">
        <f>$B49*'Kroger Payments'!K$19</f>
        <v>3645.1004157058296</v>
      </c>
      <c r="N49" s="9">
        <f>$B49*'Kroger Payments'!L$19</f>
        <v>3645.1004157058296</v>
      </c>
      <c r="O49" s="9">
        <f>$B49*'Kroger Payments'!M$19</f>
        <v>3645.1004160399639</v>
      </c>
      <c r="P49" s="7">
        <f t="shared" si="1"/>
        <v>38820.319427601222</v>
      </c>
    </row>
    <row r="50" spans="1:16" x14ac:dyDescent="0.35">
      <c r="A50" s="3" t="s">
        <v>74</v>
      </c>
      <c r="B50" s="16">
        <v>2.8278917940000002E-3</v>
      </c>
      <c r="C50" s="8" t="s">
        <v>74</v>
      </c>
      <c r="D50" s="8" t="str">
        <f t="shared" si="2"/>
        <v>No</v>
      </c>
      <c r="E50" s="9">
        <f>$B50*'Kroger Payments'!C$19</f>
        <v>5118.2384066913492</v>
      </c>
      <c r="F50" s="9">
        <f>$B50*'Kroger Payments'!D$19</f>
        <v>5118.2384066913492</v>
      </c>
      <c r="G50" s="9">
        <f>$B50*'Kroger Payments'!E$19</f>
        <v>5118.2384066913492</v>
      </c>
      <c r="H50" s="9">
        <f>$B50*'Kroger Payments'!F$19</f>
        <v>5118.2384066913492</v>
      </c>
      <c r="I50" s="9">
        <f>$B50*'Kroger Payments'!G$19</f>
        <v>5118.2384066913492</v>
      </c>
      <c r="J50" s="9">
        <f>$B50*'Kroger Payments'!H$19</f>
        <v>5118.2384066913492</v>
      </c>
      <c r="K50" s="9">
        <f>$B50*'Kroger Payments'!I$19</f>
        <v>5118.2384066913492</v>
      </c>
      <c r="L50" s="9">
        <f>$B50*'Kroger Payments'!J$19</f>
        <v>5387.6193754645783</v>
      </c>
      <c r="M50" s="9">
        <f>$B50*'Kroger Payments'!K$19</f>
        <v>5387.6193754645783</v>
      </c>
      <c r="N50" s="9">
        <f>$B50*'Kroger Payments'!L$19</f>
        <v>5387.6193754645783</v>
      </c>
      <c r="O50" s="9">
        <f>$B50*'Kroger Payments'!M$19</f>
        <v>5387.6193759584439</v>
      </c>
      <c r="P50" s="7">
        <f t="shared" si="1"/>
        <v>57378.146349191629</v>
      </c>
    </row>
    <row r="51" spans="1:16" x14ac:dyDescent="0.35">
      <c r="A51" s="3" t="s">
        <v>75</v>
      </c>
      <c r="B51" s="16">
        <v>2.1128314980000001E-3</v>
      </c>
      <c r="C51" s="8" t="s">
        <v>76</v>
      </c>
      <c r="D51" s="8" t="str">
        <f t="shared" si="2"/>
        <v>No</v>
      </c>
      <c r="E51" s="9">
        <f>$B51*'Kroger Payments'!C$19</f>
        <v>3824.0414088244343</v>
      </c>
      <c r="F51" s="9">
        <f>$B51*'Kroger Payments'!D$19</f>
        <v>3824.0414088244343</v>
      </c>
      <c r="G51" s="9">
        <f>$B51*'Kroger Payments'!E$19</f>
        <v>3824.0414088244343</v>
      </c>
      <c r="H51" s="9">
        <f>$B51*'Kroger Payments'!F$19</f>
        <v>3824.0414088244343</v>
      </c>
      <c r="I51" s="9">
        <f>$B51*'Kroger Payments'!G$19</f>
        <v>3824.0414088244343</v>
      </c>
      <c r="J51" s="9">
        <f>$B51*'Kroger Payments'!H$19</f>
        <v>3824.0414088244343</v>
      </c>
      <c r="K51" s="9">
        <f>$B51*'Kroger Payments'!I$19</f>
        <v>3824.0414088244343</v>
      </c>
      <c r="L51" s="9">
        <f>$B51*'Kroger Payments'!J$19</f>
        <v>4025.3067461309834</v>
      </c>
      <c r="M51" s="9">
        <f>$B51*'Kroger Payments'!K$19</f>
        <v>4025.3067461309834</v>
      </c>
      <c r="N51" s="9">
        <f>$B51*'Kroger Payments'!L$19</f>
        <v>4025.3067461309834</v>
      </c>
      <c r="O51" s="9">
        <f>$B51*'Kroger Payments'!M$19</f>
        <v>4025.3067464999699</v>
      </c>
      <c r="P51" s="7">
        <f t="shared" si="1"/>
        <v>42869.516846663966</v>
      </c>
    </row>
    <row r="52" spans="1:16" x14ac:dyDescent="0.35">
      <c r="A52" s="3" t="s">
        <v>77</v>
      </c>
      <c r="B52" s="16">
        <v>2.3930407960000002E-3</v>
      </c>
      <c r="C52" s="8" t="s">
        <v>77</v>
      </c>
      <c r="D52" s="8" t="str">
        <f t="shared" si="2"/>
        <v>No</v>
      </c>
      <c r="E52" s="9">
        <f>$B52*'Kroger Payments'!C$19</f>
        <v>4331.1958883482084</v>
      </c>
      <c r="F52" s="9">
        <f>$B52*'Kroger Payments'!D$19</f>
        <v>4331.1958883482084</v>
      </c>
      <c r="G52" s="9">
        <f>$B52*'Kroger Payments'!E$19</f>
        <v>4331.1958883482084</v>
      </c>
      <c r="H52" s="9">
        <f>$B52*'Kroger Payments'!F$19</f>
        <v>4331.1958883482084</v>
      </c>
      <c r="I52" s="9">
        <f>$B52*'Kroger Payments'!G$19</f>
        <v>4331.1958883482084</v>
      </c>
      <c r="J52" s="9">
        <f>$B52*'Kroger Payments'!H$19</f>
        <v>4331.1958883482084</v>
      </c>
      <c r="K52" s="9">
        <f>$B52*'Kroger Payments'!I$19</f>
        <v>4331.1958883482084</v>
      </c>
      <c r="L52" s="9">
        <f>$B52*'Kroger Payments'!J$19</f>
        <v>4559.1535666823247</v>
      </c>
      <c r="M52" s="9">
        <f>$B52*'Kroger Payments'!K$19</f>
        <v>4559.1535666823247</v>
      </c>
      <c r="N52" s="9">
        <f>$B52*'Kroger Payments'!L$19</f>
        <v>4559.1535666823247</v>
      </c>
      <c r="O52" s="9">
        <f>$B52*'Kroger Payments'!M$19</f>
        <v>4559.1535671002475</v>
      </c>
      <c r="P52" s="7">
        <f t="shared" si="1"/>
        <v>48554.985485584679</v>
      </c>
    </row>
    <row r="53" spans="1:16" x14ac:dyDescent="0.35">
      <c r="A53" s="3" t="s">
        <v>78</v>
      </c>
      <c r="B53" s="16">
        <v>4.6855349720000003E-3</v>
      </c>
      <c r="C53" s="8" t="s">
        <v>78</v>
      </c>
      <c r="D53" s="8" t="str">
        <f t="shared" si="2"/>
        <v>No</v>
      </c>
      <c r="E53" s="9">
        <f>$B53*'Kroger Payments'!C$19</f>
        <v>8480.4111318786472</v>
      </c>
      <c r="F53" s="9">
        <f>$B53*'Kroger Payments'!D$19</f>
        <v>8480.4111318786472</v>
      </c>
      <c r="G53" s="9">
        <f>$B53*'Kroger Payments'!E$19</f>
        <v>8480.4111318786472</v>
      </c>
      <c r="H53" s="9">
        <f>$B53*'Kroger Payments'!F$19</f>
        <v>8480.4111318786472</v>
      </c>
      <c r="I53" s="9">
        <f>$B53*'Kroger Payments'!G$19</f>
        <v>8480.4111318786472</v>
      </c>
      <c r="J53" s="9">
        <f>$B53*'Kroger Payments'!H$19</f>
        <v>8480.4111318786472</v>
      </c>
      <c r="K53" s="9">
        <f>$B53*'Kroger Payments'!I$19</f>
        <v>8480.4111318786472</v>
      </c>
      <c r="L53" s="9">
        <f>$B53*'Kroger Payments'!J$19</f>
        <v>8926.7485598722596</v>
      </c>
      <c r="M53" s="9">
        <f>$B53*'Kroger Payments'!K$19</f>
        <v>8926.7485598722596</v>
      </c>
      <c r="N53" s="9">
        <f>$B53*'Kroger Payments'!L$19</f>
        <v>8926.7485598722596</v>
      </c>
      <c r="O53" s="9">
        <f>$B53*'Kroger Payments'!M$19</f>
        <v>8926.7485606905448</v>
      </c>
      <c r="P53" s="7">
        <f t="shared" si="1"/>
        <v>95069.87216345784</v>
      </c>
    </row>
    <row r="54" spans="1:16" x14ac:dyDescent="0.35">
      <c r="A54" s="3" t="s">
        <v>34</v>
      </c>
      <c r="B54" s="16">
        <v>2.33450803E-4</v>
      </c>
      <c r="C54" s="8" t="s">
        <v>79</v>
      </c>
      <c r="D54" s="8" t="str">
        <f t="shared" si="2"/>
        <v>No</v>
      </c>
      <c r="E54" s="9">
        <f>$B54*'Kroger Payments'!C$19</f>
        <v>422.52566683162701</v>
      </c>
      <c r="F54" s="9">
        <f>$B54*'Kroger Payments'!D$19</f>
        <v>422.52566683162701</v>
      </c>
      <c r="G54" s="9">
        <f>$B54*'Kroger Payments'!E$19</f>
        <v>422.52566683162701</v>
      </c>
      <c r="H54" s="9">
        <f>$B54*'Kroger Payments'!F$19</f>
        <v>422.52566683162701</v>
      </c>
      <c r="I54" s="9">
        <f>$B54*'Kroger Payments'!G$19</f>
        <v>422.52566683162701</v>
      </c>
      <c r="J54" s="9">
        <f>$B54*'Kroger Payments'!H$19</f>
        <v>422.52566683162701</v>
      </c>
      <c r="K54" s="9">
        <f>$B54*'Kroger Payments'!I$19</f>
        <v>422.52566683162701</v>
      </c>
      <c r="L54" s="9">
        <f>$B54*'Kroger Payments'!J$19</f>
        <v>444.76385982276531</v>
      </c>
      <c r="M54" s="9">
        <f>$B54*'Kroger Payments'!K$19</f>
        <v>444.76385982276531</v>
      </c>
      <c r="N54" s="9">
        <f>$B54*'Kroger Payments'!L$19</f>
        <v>444.76385982276531</v>
      </c>
      <c r="O54" s="9">
        <f>$B54*'Kroger Payments'!M$19</f>
        <v>444.76385986353529</v>
      </c>
      <c r="P54" s="7">
        <f t="shared" si="1"/>
        <v>4736.7351071532203</v>
      </c>
    </row>
    <row r="55" spans="1:16" x14ac:dyDescent="0.35">
      <c r="A55" s="3" t="s">
        <v>75</v>
      </c>
      <c r="B55" s="16">
        <v>5.8252838779999996E-3</v>
      </c>
      <c r="C55" s="8" t="s">
        <v>80</v>
      </c>
      <c r="D55" s="8" t="str">
        <f t="shared" si="2"/>
        <v>No</v>
      </c>
      <c r="E55" s="9">
        <f>$B55*'Kroger Payments'!C$19</f>
        <v>10543.257608908187</v>
      </c>
      <c r="F55" s="9">
        <f>$B55*'Kroger Payments'!D$19</f>
        <v>10543.257608908187</v>
      </c>
      <c r="G55" s="9">
        <f>$B55*'Kroger Payments'!E$19</f>
        <v>10543.257608908187</v>
      </c>
      <c r="H55" s="9">
        <f>$B55*'Kroger Payments'!F$19</f>
        <v>10543.257608908187</v>
      </c>
      <c r="I55" s="9">
        <f>$B55*'Kroger Payments'!G$19</f>
        <v>10543.257608908187</v>
      </c>
      <c r="J55" s="9">
        <f>$B55*'Kroger Payments'!H$19</f>
        <v>10543.257608908187</v>
      </c>
      <c r="K55" s="9">
        <f>$B55*'Kroger Payments'!I$19</f>
        <v>10543.257608908187</v>
      </c>
      <c r="L55" s="9">
        <f>$B55*'Kroger Payments'!J$19</f>
        <v>11098.165904113881</v>
      </c>
      <c r="M55" s="9">
        <f>$B55*'Kroger Payments'!K$19</f>
        <v>11098.165904113881</v>
      </c>
      <c r="N55" s="9">
        <f>$B55*'Kroger Payments'!L$19</f>
        <v>11098.165904113881</v>
      </c>
      <c r="O55" s="9">
        <f>$B55*'Kroger Payments'!M$19</f>
        <v>11098.165905131213</v>
      </c>
      <c r="P55" s="7">
        <f t="shared" si="1"/>
        <v>118195.46687983016</v>
      </c>
    </row>
    <row r="56" spans="1:16" x14ac:dyDescent="0.35">
      <c r="A56" s="3" t="s">
        <v>40</v>
      </c>
      <c r="B56" s="16">
        <v>4.823811618E-3</v>
      </c>
      <c r="C56" s="8" t="s">
        <v>40</v>
      </c>
      <c r="D56" s="8" t="str">
        <f t="shared" si="2"/>
        <v>No</v>
      </c>
      <c r="E56" s="9">
        <f>$B56*'Kroger Payments'!C$19</f>
        <v>8730.6798450618298</v>
      </c>
      <c r="F56" s="9">
        <f>$B56*'Kroger Payments'!D$19</f>
        <v>8730.6798450618298</v>
      </c>
      <c r="G56" s="9">
        <f>$B56*'Kroger Payments'!E$19</f>
        <v>8730.6798450618298</v>
      </c>
      <c r="H56" s="9">
        <f>$B56*'Kroger Payments'!F$19</f>
        <v>8730.6798450618298</v>
      </c>
      <c r="I56" s="9">
        <f>$B56*'Kroger Payments'!G$19</f>
        <v>8730.6798450618298</v>
      </c>
      <c r="J56" s="9">
        <f>$B56*'Kroger Payments'!H$19</f>
        <v>8730.6798450618298</v>
      </c>
      <c r="K56" s="9">
        <f>$B56*'Kroger Payments'!I$19</f>
        <v>8730.6798450618298</v>
      </c>
      <c r="L56" s="9">
        <f>$B56*'Kroger Payments'!J$19</f>
        <v>9190.1893105914005</v>
      </c>
      <c r="M56" s="9">
        <f>$B56*'Kroger Payments'!K$19</f>
        <v>9190.1893105914005</v>
      </c>
      <c r="N56" s="9">
        <f>$B56*'Kroger Payments'!L$19</f>
        <v>9190.1893105914005</v>
      </c>
      <c r="O56" s="9">
        <f>$B56*'Kroger Payments'!M$19</f>
        <v>9190.1893114338327</v>
      </c>
      <c r="P56" s="7">
        <f t="shared" si="1"/>
        <v>97875.51615864085</v>
      </c>
    </row>
    <row r="57" spans="1:16" x14ac:dyDescent="0.35">
      <c r="A57" s="3" t="s">
        <v>58</v>
      </c>
      <c r="B57" s="16">
        <v>1.29335184E-4</v>
      </c>
      <c r="C57" s="8" t="s">
        <v>81</v>
      </c>
      <c r="D57" s="8" t="str">
        <f t="shared" si="2"/>
        <v>No</v>
      </c>
      <c r="E57" s="9">
        <f>$B57*'Kroger Payments'!C$19</f>
        <v>234.08544396564434</v>
      </c>
      <c r="F57" s="9">
        <f>$B57*'Kroger Payments'!D$19</f>
        <v>234.08544396564434</v>
      </c>
      <c r="G57" s="9">
        <f>$B57*'Kroger Payments'!E$19</f>
        <v>234.08544396564434</v>
      </c>
      <c r="H57" s="9">
        <f>$B57*'Kroger Payments'!F$19</f>
        <v>234.08544396564434</v>
      </c>
      <c r="I57" s="9">
        <f>$B57*'Kroger Payments'!G$19</f>
        <v>234.08544396564434</v>
      </c>
      <c r="J57" s="9">
        <f>$B57*'Kroger Payments'!H$19</f>
        <v>234.08544396564434</v>
      </c>
      <c r="K57" s="9">
        <f>$B57*'Kroger Payments'!I$19</f>
        <v>234.08544396564434</v>
      </c>
      <c r="L57" s="9">
        <f>$B57*'Kroger Payments'!J$19</f>
        <v>246.40573049015197</v>
      </c>
      <c r="M57" s="9">
        <f>$B57*'Kroger Payments'!K$19</f>
        <v>246.40573049015197</v>
      </c>
      <c r="N57" s="9">
        <f>$B57*'Kroger Payments'!L$19</f>
        <v>246.40573049015197</v>
      </c>
      <c r="O57" s="9">
        <f>$B57*'Kroger Payments'!M$19</f>
        <v>246.40573051273915</v>
      </c>
      <c r="P57" s="7">
        <f t="shared" si="1"/>
        <v>2624.2210297427055</v>
      </c>
    </row>
    <row r="58" spans="1:16" x14ac:dyDescent="0.35">
      <c r="A58" s="3" t="s">
        <v>34</v>
      </c>
      <c r="B58" s="16">
        <v>3.3278565099999999E-4</v>
      </c>
      <c r="C58" s="8" t="s">
        <v>82</v>
      </c>
      <c r="D58" s="8" t="str">
        <f t="shared" si="2"/>
        <v>No</v>
      </c>
      <c r="E58" s="9">
        <f>$B58*'Kroger Payments'!C$19</f>
        <v>602.31310963094904</v>
      </c>
      <c r="F58" s="9">
        <f>$B58*'Kroger Payments'!D$19</f>
        <v>602.31310963094904</v>
      </c>
      <c r="G58" s="9">
        <f>$B58*'Kroger Payments'!E$19</f>
        <v>602.31310963094904</v>
      </c>
      <c r="H58" s="9">
        <f>$B58*'Kroger Payments'!F$19</f>
        <v>602.31310963094904</v>
      </c>
      <c r="I58" s="9">
        <f>$B58*'Kroger Payments'!G$19</f>
        <v>602.31310963094904</v>
      </c>
      <c r="J58" s="9">
        <f>$B58*'Kroger Payments'!H$19</f>
        <v>602.31310963094904</v>
      </c>
      <c r="K58" s="9">
        <f>$B58*'Kroger Payments'!I$19</f>
        <v>602.31310963094904</v>
      </c>
      <c r="L58" s="9">
        <f>$B58*'Kroger Payments'!J$19</f>
        <v>634.01379961152543</v>
      </c>
      <c r="M58" s="9">
        <f>$B58*'Kroger Payments'!K$19</f>
        <v>634.01379961152543</v>
      </c>
      <c r="N58" s="9">
        <f>$B58*'Kroger Payments'!L$19</f>
        <v>634.01379961152543</v>
      </c>
      <c r="O58" s="9">
        <f>$B58*'Kroger Payments'!M$19</f>
        <v>634.01379966964328</v>
      </c>
      <c r="P58" s="7">
        <f t="shared" si="1"/>
        <v>6752.2469659208627</v>
      </c>
    </row>
    <row r="59" spans="1:16" x14ac:dyDescent="0.35">
      <c r="A59" s="3" t="s">
        <v>83</v>
      </c>
      <c r="B59" s="16">
        <v>1.4144321300000001E-4</v>
      </c>
      <c r="C59" s="8" t="s">
        <v>84</v>
      </c>
      <c r="D59" s="8" t="str">
        <f t="shared" si="2"/>
        <v>No</v>
      </c>
      <c r="E59" s="9">
        <f>$B59*'Kroger Payments'!C$19</f>
        <v>255.99992428226028</v>
      </c>
      <c r="F59" s="9">
        <f>$B59*'Kroger Payments'!D$19</f>
        <v>255.99992428226028</v>
      </c>
      <c r="G59" s="9">
        <f>$B59*'Kroger Payments'!E$19</f>
        <v>255.99992428226028</v>
      </c>
      <c r="H59" s="9">
        <f>$B59*'Kroger Payments'!F$19</f>
        <v>255.99992428226028</v>
      </c>
      <c r="I59" s="9">
        <f>$B59*'Kroger Payments'!G$19</f>
        <v>255.99992428226028</v>
      </c>
      <c r="J59" s="9">
        <f>$B59*'Kroger Payments'!H$19</f>
        <v>255.99992428226028</v>
      </c>
      <c r="K59" s="9">
        <f>$B59*'Kroger Payments'!I$19</f>
        <v>255.99992428226028</v>
      </c>
      <c r="L59" s="9">
        <f>$B59*'Kroger Payments'!J$19</f>
        <v>269.47360450764239</v>
      </c>
      <c r="M59" s="9">
        <f>$B59*'Kroger Payments'!K$19</f>
        <v>269.47360450764239</v>
      </c>
      <c r="N59" s="9">
        <f>$B59*'Kroger Payments'!L$19</f>
        <v>269.47360450764239</v>
      </c>
      <c r="O59" s="9">
        <f>$B59*'Kroger Payments'!M$19</f>
        <v>269.47360453234415</v>
      </c>
      <c r="P59" s="7">
        <f t="shared" si="1"/>
        <v>2869.8938880310934</v>
      </c>
    </row>
    <row r="60" spans="1:16" x14ac:dyDescent="0.35">
      <c r="A60" s="3" t="s">
        <v>83</v>
      </c>
      <c r="B60" s="16">
        <v>1.6050285999999999E-5</v>
      </c>
      <c r="C60" s="8" t="s">
        <v>85</v>
      </c>
      <c r="D60" s="8" t="str">
        <f t="shared" si="2"/>
        <v>No</v>
      </c>
      <c r="E60" s="9">
        <f>$B60*'Kroger Payments'!C$19</f>
        <v>29.049622909150273</v>
      </c>
      <c r="F60" s="9">
        <f>$B60*'Kroger Payments'!D$19</f>
        <v>29.049622909150273</v>
      </c>
      <c r="G60" s="9">
        <f>$B60*'Kroger Payments'!E$19</f>
        <v>29.049622909150273</v>
      </c>
      <c r="H60" s="9">
        <f>$B60*'Kroger Payments'!F$19</f>
        <v>29.049622909150273</v>
      </c>
      <c r="I60" s="9">
        <f>$B60*'Kroger Payments'!G$19</f>
        <v>29.049622909150273</v>
      </c>
      <c r="J60" s="9">
        <f>$B60*'Kroger Payments'!H$19</f>
        <v>29.049622909150273</v>
      </c>
      <c r="K60" s="9">
        <f>$B60*'Kroger Payments'!I$19</f>
        <v>29.049622909150273</v>
      </c>
      <c r="L60" s="9">
        <f>$B60*'Kroger Payments'!J$19</f>
        <v>30.578550430684498</v>
      </c>
      <c r="M60" s="9">
        <f>$B60*'Kroger Payments'!K$19</f>
        <v>30.578550430684498</v>
      </c>
      <c r="N60" s="9">
        <f>$B60*'Kroger Payments'!L$19</f>
        <v>30.578550430684498</v>
      </c>
      <c r="O60" s="9">
        <f>$B60*'Kroger Payments'!M$19</f>
        <v>30.578550433487532</v>
      </c>
      <c r="P60" s="7">
        <f t="shared" si="1"/>
        <v>325.66156208959296</v>
      </c>
    </row>
    <row r="61" spans="1:16" x14ac:dyDescent="0.35">
      <c r="A61" s="3" t="s">
        <v>86</v>
      </c>
      <c r="B61" s="16">
        <v>2.5770118309999999E-3</v>
      </c>
      <c r="C61" s="8" t="s">
        <v>86</v>
      </c>
      <c r="D61" s="8" t="str">
        <f t="shared" si="2"/>
        <v>No</v>
      </c>
      <c r="E61" s="9">
        <f>$B61*'Kroger Payments'!C$19</f>
        <v>4664.1674748330897</v>
      </c>
      <c r="F61" s="9">
        <f>$B61*'Kroger Payments'!D$19</f>
        <v>4664.1674748330897</v>
      </c>
      <c r="G61" s="9">
        <f>$B61*'Kroger Payments'!E$19</f>
        <v>4664.1674748330897</v>
      </c>
      <c r="H61" s="9">
        <f>$B61*'Kroger Payments'!F$19</f>
        <v>4664.1674748330897</v>
      </c>
      <c r="I61" s="9">
        <f>$B61*'Kroger Payments'!G$19</f>
        <v>4664.1674748330897</v>
      </c>
      <c r="J61" s="9">
        <f>$B61*'Kroger Payments'!H$19</f>
        <v>4664.1674748330897</v>
      </c>
      <c r="K61" s="9">
        <f>$B61*'Kroger Payments'!I$19</f>
        <v>4664.1674748330897</v>
      </c>
      <c r="L61" s="9">
        <f>$B61*'Kroger Payments'!J$19</f>
        <v>4909.6499735085154</v>
      </c>
      <c r="M61" s="9">
        <f>$B61*'Kroger Payments'!K$19</f>
        <v>4909.6499735085154</v>
      </c>
      <c r="N61" s="9">
        <f>$B61*'Kroger Payments'!L$19</f>
        <v>4909.6499735085154</v>
      </c>
      <c r="O61" s="9">
        <f>$B61*'Kroger Payments'!M$19</f>
        <v>4909.649973958567</v>
      </c>
      <c r="P61" s="7">
        <f t="shared" si="1"/>
        <v>52287.772218315746</v>
      </c>
    </row>
    <row r="62" spans="1:16" x14ac:dyDescent="0.35">
      <c r="A62" s="3" t="s">
        <v>63</v>
      </c>
      <c r="B62" s="16">
        <v>1.4801625500000001E-4</v>
      </c>
      <c r="C62" s="8" t="s">
        <v>87</v>
      </c>
      <c r="D62" s="8" t="str">
        <f t="shared" si="2"/>
        <v>No</v>
      </c>
      <c r="E62" s="9">
        <f>$B62*'Kroger Payments'!C$19</f>
        <v>267.89655911269301</v>
      </c>
      <c r="F62" s="9">
        <f>$B62*'Kroger Payments'!D$19</f>
        <v>267.89655911269301</v>
      </c>
      <c r="G62" s="9">
        <f>$B62*'Kroger Payments'!E$19</f>
        <v>267.89655911269301</v>
      </c>
      <c r="H62" s="9">
        <f>$B62*'Kroger Payments'!F$19</f>
        <v>267.89655911269301</v>
      </c>
      <c r="I62" s="9">
        <f>$B62*'Kroger Payments'!G$19</f>
        <v>267.89655911269301</v>
      </c>
      <c r="J62" s="9">
        <f>$B62*'Kroger Payments'!H$19</f>
        <v>267.89655911269301</v>
      </c>
      <c r="K62" s="9">
        <f>$B62*'Kroger Payments'!I$19</f>
        <v>267.89655911269301</v>
      </c>
      <c r="L62" s="9">
        <f>$B62*'Kroger Payments'!J$19</f>
        <v>281.9963780133611</v>
      </c>
      <c r="M62" s="9">
        <f>$B62*'Kroger Payments'!K$19</f>
        <v>281.9963780133611</v>
      </c>
      <c r="N62" s="9">
        <f>$B62*'Kroger Payments'!L$19</f>
        <v>281.9963780133611</v>
      </c>
      <c r="O62" s="9">
        <f>$B62*'Kroger Payments'!M$19</f>
        <v>281.99637803921075</v>
      </c>
      <c r="P62" s="7">
        <f t="shared" si="1"/>
        <v>3003.2614258681456</v>
      </c>
    </row>
    <row r="63" spans="1:16" x14ac:dyDescent="0.35">
      <c r="A63" s="3" t="s">
        <v>22</v>
      </c>
      <c r="B63" s="16">
        <v>5.0148255289999997E-3</v>
      </c>
      <c r="C63" s="8" t="s">
        <v>88</v>
      </c>
      <c r="D63" s="8" t="str">
        <f t="shared" si="2"/>
        <v>No</v>
      </c>
      <c r="E63" s="9">
        <f>$B63*'Kroger Payments'!C$19</f>
        <v>9076.3984250891244</v>
      </c>
      <c r="F63" s="9">
        <f>$B63*'Kroger Payments'!D$19</f>
        <v>9076.3984250891244</v>
      </c>
      <c r="G63" s="9">
        <f>$B63*'Kroger Payments'!E$19</f>
        <v>9076.3984250891244</v>
      </c>
      <c r="H63" s="9">
        <f>$B63*'Kroger Payments'!F$19</f>
        <v>9076.3984250891244</v>
      </c>
      <c r="I63" s="9">
        <f>$B63*'Kroger Payments'!G$19</f>
        <v>9076.3984250891244</v>
      </c>
      <c r="J63" s="9">
        <f>$B63*'Kroger Payments'!H$19</f>
        <v>9076.3984250891244</v>
      </c>
      <c r="K63" s="9">
        <f>$B63*'Kroger Payments'!I$19</f>
        <v>9076.3984250891244</v>
      </c>
      <c r="L63" s="9">
        <f>$B63*'Kroger Payments'!J$19</f>
        <v>9554.1036053569733</v>
      </c>
      <c r="M63" s="9">
        <f>$B63*'Kroger Payments'!K$19</f>
        <v>9554.1036053569733</v>
      </c>
      <c r="N63" s="9">
        <f>$B63*'Kroger Payments'!L$19</f>
        <v>9554.1036053569733</v>
      </c>
      <c r="O63" s="9">
        <f>$B63*'Kroger Payments'!M$19</f>
        <v>9554.1036062327657</v>
      </c>
      <c r="P63" s="7">
        <f t="shared" si="1"/>
        <v>101751.20339792754</v>
      </c>
    </row>
    <row r="64" spans="1:16" x14ac:dyDescent="0.35">
      <c r="A64" s="3" t="s">
        <v>22</v>
      </c>
      <c r="B64" s="16">
        <v>1.763248603E-3</v>
      </c>
      <c r="C64" s="8" t="s">
        <v>89</v>
      </c>
      <c r="D64" s="8" t="str">
        <f t="shared" si="2"/>
        <v>No</v>
      </c>
      <c r="E64" s="9">
        <f>$B64*'Kroger Payments'!C$19</f>
        <v>3191.3267472141006</v>
      </c>
      <c r="F64" s="9">
        <f>$B64*'Kroger Payments'!D$19</f>
        <v>3191.3267472141006</v>
      </c>
      <c r="G64" s="9">
        <f>$B64*'Kroger Payments'!E$19</f>
        <v>3191.3267472141006</v>
      </c>
      <c r="H64" s="9">
        <f>$B64*'Kroger Payments'!F$19</f>
        <v>3191.3267472141006</v>
      </c>
      <c r="I64" s="9">
        <f>$B64*'Kroger Payments'!G$19</f>
        <v>3191.3267472141006</v>
      </c>
      <c r="J64" s="9">
        <f>$B64*'Kroger Payments'!H$19</f>
        <v>3191.3267472141006</v>
      </c>
      <c r="K64" s="9">
        <f>$B64*'Kroger Payments'!I$19</f>
        <v>3191.3267472141006</v>
      </c>
      <c r="L64" s="9">
        <f>$B64*'Kroger Payments'!J$19</f>
        <v>3359.291312856948</v>
      </c>
      <c r="M64" s="9">
        <f>$B64*'Kroger Payments'!K$19</f>
        <v>3359.291312856948</v>
      </c>
      <c r="N64" s="9">
        <f>$B64*'Kroger Payments'!L$19</f>
        <v>3359.291312856948</v>
      </c>
      <c r="O64" s="9">
        <f>$B64*'Kroger Payments'!M$19</f>
        <v>3359.2913131648829</v>
      </c>
      <c r="P64" s="7">
        <f t="shared" si="1"/>
        <v>35776.452482234439</v>
      </c>
    </row>
    <row r="65" spans="1:16" x14ac:dyDescent="0.35">
      <c r="A65" s="3" t="s">
        <v>90</v>
      </c>
      <c r="B65" s="16">
        <v>3.2926916800000001E-4</v>
      </c>
      <c r="C65" s="8" t="s">
        <v>91</v>
      </c>
      <c r="D65" s="8" t="str">
        <f t="shared" si="2"/>
        <v>No</v>
      </c>
      <c r="E65" s="9">
        <f>$B65*'Kroger Payments'!C$19</f>
        <v>595.94858097915824</v>
      </c>
      <c r="F65" s="9">
        <f>$B65*'Kroger Payments'!D$19</f>
        <v>595.94858097915824</v>
      </c>
      <c r="G65" s="9">
        <f>$B65*'Kroger Payments'!E$19</f>
        <v>595.94858097915824</v>
      </c>
      <c r="H65" s="9">
        <f>$B65*'Kroger Payments'!F$19</f>
        <v>595.94858097915824</v>
      </c>
      <c r="I65" s="9">
        <f>$B65*'Kroger Payments'!G$19</f>
        <v>595.94858097915824</v>
      </c>
      <c r="J65" s="9">
        <f>$B65*'Kroger Payments'!H$19</f>
        <v>595.94858097915824</v>
      </c>
      <c r="K65" s="9">
        <f>$B65*'Kroger Payments'!I$19</f>
        <v>595.94858097915824</v>
      </c>
      <c r="L65" s="9">
        <f>$B65*'Kroger Payments'!J$19</f>
        <v>627.3142957675351</v>
      </c>
      <c r="M65" s="9">
        <f>$B65*'Kroger Payments'!K$19</f>
        <v>627.3142957675351</v>
      </c>
      <c r="N65" s="9">
        <f>$B65*'Kroger Payments'!L$19</f>
        <v>627.3142957675351</v>
      </c>
      <c r="O65" s="9">
        <f>$B65*'Kroger Payments'!M$19</f>
        <v>627.31429582503881</v>
      </c>
      <c r="P65" s="7">
        <f t="shared" si="1"/>
        <v>6680.8972499817528</v>
      </c>
    </row>
    <row r="66" spans="1:16" x14ac:dyDescent="0.35">
      <c r="A66" s="3" t="s">
        <v>92</v>
      </c>
      <c r="B66" s="16">
        <v>6.7867525199999997E-4</v>
      </c>
      <c r="C66" s="8" t="s">
        <v>93</v>
      </c>
      <c r="D66" s="8" t="str">
        <f t="shared" si="2"/>
        <v>No</v>
      </c>
      <c r="E66" s="9">
        <f>$B66*'Kroger Payments'!C$19</f>
        <v>1228.3432300441584</v>
      </c>
      <c r="F66" s="9">
        <f>$B66*'Kroger Payments'!D$19</f>
        <v>1228.3432300441584</v>
      </c>
      <c r="G66" s="9">
        <f>$B66*'Kroger Payments'!E$19</f>
        <v>1228.3432300441584</v>
      </c>
      <c r="H66" s="9">
        <f>$B66*'Kroger Payments'!F$19</f>
        <v>1228.3432300441584</v>
      </c>
      <c r="I66" s="9">
        <f>$B66*'Kroger Payments'!G$19</f>
        <v>1228.3432300441584</v>
      </c>
      <c r="J66" s="9">
        <f>$B66*'Kroger Payments'!H$19</f>
        <v>1228.3432300441584</v>
      </c>
      <c r="K66" s="9">
        <f>$B66*'Kroger Payments'!I$19</f>
        <v>1228.3432300441584</v>
      </c>
      <c r="L66" s="9">
        <f>$B66*'Kroger Payments'!J$19</f>
        <v>1292.992873730693</v>
      </c>
      <c r="M66" s="9">
        <f>$B66*'Kroger Payments'!K$19</f>
        <v>1292.992873730693</v>
      </c>
      <c r="N66" s="9">
        <f>$B66*'Kroger Payments'!L$19</f>
        <v>1292.992873730693</v>
      </c>
      <c r="O66" s="9">
        <f>$B66*'Kroger Payments'!M$19</f>
        <v>1292.9928738492174</v>
      </c>
      <c r="P66" s="7">
        <f t="shared" si="1"/>
        <v>13770.374105350405</v>
      </c>
    </row>
    <row r="67" spans="1:16" x14ac:dyDescent="0.35">
      <c r="A67" s="3" t="s">
        <v>94</v>
      </c>
      <c r="B67" s="16">
        <v>2.3254331770000002E-3</v>
      </c>
      <c r="C67" s="8" t="s">
        <v>94</v>
      </c>
      <c r="D67" s="8" t="str">
        <f t="shared" si="2"/>
        <v>No</v>
      </c>
      <c r="E67" s="9">
        <f>$B67*'Kroger Payments'!C$19</f>
        <v>4208.8319729802515</v>
      </c>
      <c r="F67" s="9">
        <f>$B67*'Kroger Payments'!D$19</f>
        <v>4208.8319729802515</v>
      </c>
      <c r="G67" s="9">
        <f>$B67*'Kroger Payments'!E$19</f>
        <v>4208.8319729802515</v>
      </c>
      <c r="H67" s="9">
        <f>$B67*'Kroger Payments'!F$19</f>
        <v>4208.8319729802515</v>
      </c>
      <c r="I67" s="9">
        <f>$B67*'Kroger Payments'!G$19</f>
        <v>4208.8319729802515</v>
      </c>
      <c r="J67" s="9">
        <f>$B67*'Kroger Payments'!H$19</f>
        <v>4208.8319729802515</v>
      </c>
      <c r="K67" s="9">
        <f>$B67*'Kroger Payments'!I$19</f>
        <v>4208.8319729802515</v>
      </c>
      <c r="L67" s="9">
        <f>$B67*'Kroger Payments'!J$19</f>
        <v>4430.3494452423702</v>
      </c>
      <c r="M67" s="9">
        <f>$B67*'Kroger Payments'!K$19</f>
        <v>4430.3494452423702</v>
      </c>
      <c r="N67" s="9">
        <f>$B67*'Kroger Payments'!L$19</f>
        <v>4430.3494452423702</v>
      </c>
      <c r="O67" s="9">
        <f>$B67*'Kroger Payments'!M$19</f>
        <v>4430.349445648485</v>
      </c>
      <c r="P67" s="7">
        <f t="shared" si="1"/>
        <v>47183.221592237358</v>
      </c>
    </row>
    <row r="68" spans="1:16" x14ac:dyDescent="0.35">
      <c r="A68" s="3" t="s">
        <v>22</v>
      </c>
      <c r="B68" s="16">
        <v>6.3675475251999999E-2</v>
      </c>
      <c r="C68" s="8" t="s">
        <v>95</v>
      </c>
      <c r="D68" s="8" t="str">
        <f t="shared" si="2"/>
        <v>No</v>
      </c>
      <c r="E68" s="9">
        <f>$B68*'Kroger Payments'!C$19</f>
        <v>115247.07688271289</v>
      </c>
      <c r="F68" s="9">
        <f>$B68*'Kroger Payments'!D$19</f>
        <v>115247.07688271289</v>
      </c>
      <c r="G68" s="9">
        <f>$B68*'Kroger Payments'!E$19</f>
        <v>115247.07688271289</v>
      </c>
      <c r="H68" s="9">
        <f>$B68*'Kroger Payments'!F$19</f>
        <v>115247.07688271289</v>
      </c>
      <c r="I68" s="9">
        <f>$B68*'Kroger Payments'!G$19</f>
        <v>115247.07688271289</v>
      </c>
      <c r="J68" s="9">
        <f>$B68*'Kroger Payments'!H$19</f>
        <v>115247.07688271289</v>
      </c>
      <c r="K68" s="9">
        <f>$B68*'Kroger Payments'!I$19</f>
        <v>115247.07688271289</v>
      </c>
      <c r="L68" s="9">
        <f>$B68*'Kroger Payments'!J$19</f>
        <v>121312.71250811884</v>
      </c>
      <c r="M68" s="9">
        <f>$B68*'Kroger Payments'!K$19</f>
        <v>121312.71250811884</v>
      </c>
      <c r="N68" s="9">
        <f>$B68*'Kroger Payments'!L$19</f>
        <v>121312.71250811884</v>
      </c>
      <c r="O68" s="9">
        <f>$B68*'Kroger Payments'!M$19</f>
        <v>121312.71251923917</v>
      </c>
      <c r="P68" s="7">
        <f t="shared" ref="P68:P131" si="3">SUM(E68:O68)</f>
        <v>1291980.3882225861</v>
      </c>
    </row>
    <row r="69" spans="1:16" ht="18.75" customHeight="1" x14ac:dyDescent="0.35">
      <c r="A69" s="3" t="s">
        <v>22</v>
      </c>
      <c r="B69" s="16">
        <v>0</v>
      </c>
      <c r="C69" s="8" t="s">
        <v>96</v>
      </c>
      <c r="D69" s="8" t="s">
        <v>336</v>
      </c>
      <c r="E69" s="9">
        <f>$B69*'Kroger Payments'!C$19</f>
        <v>0</v>
      </c>
      <c r="F69" s="9">
        <f>$B69*'Kroger Payments'!D$19</f>
        <v>0</v>
      </c>
      <c r="G69" s="9">
        <f>$B69*'Kroger Payments'!E$19</f>
        <v>0</v>
      </c>
      <c r="H69" s="9">
        <f>$B69*'Kroger Payments'!F$19</f>
        <v>0</v>
      </c>
      <c r="I69" s="9">
        <f>$B69*'Kroger Payments'!G$19</f>
        <v>0</v>
      </c>
      <c r="J69" s="9">
        <f>$B69*'Kroger Payments'!H$19</f>
        <v>0</v>
      </c>
      <c r="K69" s="9">
        <f>$B69*'Kroger Payments'!I$19</f>
        <v>0</v>
      </c>
      <c r="L69" s="9">
        <f>$B69*'Kroger Payments'!J$19</f>
        <v>0</v>
      </c>
      <c r="M69" s="9">
        <f>$B69*'Kroger Payments'!K$19</f>
        <v>0</v>
      </c>
      <c r="N69" s="9">
        <f>$B69*'Kroger Payments'!L$19</f>
        <v>0</v>
      </c>
      <c r="O69" s="9">
        <f>$B69*'Kroger Payments'!M$19</f>
        <v>0</v>
      </c>
      <c r="P69" s="7">
        <f t="shared" si="3"/>
        <v>0</v>
      </c>
    </row>
    <row r="70" spans="1:16" x14ac:dyDescent="0.35">
      <c r="A70" s="3" t="s">
        <v>40</v>
      </c>
      <c r="B70" s="16">
        <v>6.1535424400000003E-4</v>
      </c>
      <c r="C70" s="8" t="s">
        <v>97</v>
      </c>
      <c r="D70" s="8" t="str">
        <f t="shared" ref="D70:D133" si="4">IF(B70&lt;0.000011, "Yes", "No")</f>
        <v>No</v>
      </c>
      <c r="E70" s="9">
        <f>$B70*'Kroger Payments'!C$19</f>
        <v>1113.7377080847812</v>
      </c>
      <c r="F70" s="9">
        <f>$B70*'Kroger Payments'!D$19</f>
        <v>1113.7377080847812</v>
      </c>
      <c r="G70" s="9">
        <f>$B70*'Kroger Payments'!E$19</f>
        <v>1113.7377080847812</v>
      </c>
      <c r="H70" s="9">
        <f>$B70*'Kroger Payments'!F$19</f>
        <v>1113.7377080847812</v>
      </c>
      <c r="I70" s="9">
        <f>$B70*'Kroger Payments'!G$19</f>
        <v>1113.7377080847812</v>
      </c>
      <c r="J70" s="9">
        <f>$B70*'Kroger Payments'!H$19</f>
        <v>1113.7377080847812</v>
      </c>
      <c r="K70" s="9">
        <f>$B70*'Kroger Payments'!I$19</f>
        <v>1113.7377080847812</v>
      </c>
      <c r="L70" s="9">
        <f>$B70*'Kroger Payments'!J$19</f>
        <v>1172.3554821945065</v>
      </c>
      <c r="M70" s="9">
        <f>$B70*'Kroger Payments'!K$19</f>
        <v>1172.3554821945065</v>
      </c>
      <c r="N70" s="9">
        <f>$B70*'Kroger Payments'!L$19</f>
        <v>1172.3554821945065</v>
      </c>
      <c r="O70" s="9">
        <f>$B70*'Kroger Payments'!M$19</f>
        <v>1172.3554823019724</v>
      </c>
      <c r="P70" s="7">
        <f t="shared" si="3"/>
        <v>12485.585885478962</v>
      </c>
    </row>
    <row r="71" spans="1:16" x14ac:dyDescent="0.35">
      <c r="A71" s="3" t="s">
        <v>98</v>
      </c>
      <c r="B71" s="16">
        <v>2.4758296159999998E-3</v>
      </c>
      <c r="C71" s="8" t="s">
        <v>98</v>
      </c>
      <c r="D71" s="8" t="str">
        <f t="shared" si="4"/>
        <v>No</v>
      </c>
      <c r="E71" s="9">
        <f>$B71*'Kroger Payments'!C$19</f>
        <v>4481.0364582977727</v>
      </c>
      <c r="F71" s="9">
        <f>$B71*'Kroger Payments'!D$19</f>
        <v>4481.0364582977727</v>
      </c>
      <c r="G71" s="9">
        <f>$B71*'Kroger Payments'!E$19</f>
        <v>4481.0364582977727</v>
      </c>
      <c r="H71" s="9">
        <f>$B71*'Kroger Payments'!F$19</f>
        <v>4481.0364582977727</v>
      </c>
      <c r="I71" s="9">
        <f>$B71*'Kroger Payments'!G$19</f>
        <v>4481.0364582977727</v>
      </c>
      <c r="J71" s="9">
        <f>$B71*'Kroger Payments'!H$19</f>
        <v>4481.0364582977727</v>
      </c>
      <c r="K71" s="9">
        <f>$B71*'Kroger Payments'!I$19</f>
        <v>4481.0364582977727</v>
      </c>
      <c r="L71" s="9">
        <f>$B71*'Kroger Payments'!J$19</f>
        <v>4716.8804824187082</v>
      </c>
      <c r="M71" s="9">
        <f>$B71*'Kroger Payments'!K$19</f>
        <v>4716.8804824187082</v>
      </c>
      <c r="N71" s="9">
        <f>$B71*'Kroger Payments'!L$19</f>
        <v>4716.8804824187082</v>
      </c>
      <c r="O71" s="9">
        <f>$B71*'Kroger Payments'!M$19</f>
        <v>4716.8804828510883</v>
      </c>
      <c r="P71" s="7">
        <f t="shared" si="3"/>
        <v>50234.777138191625</v>
      </c>
    </row>
    <row r="72" spans="1:16" x14ac:dyDescent="0.35">
      <c r="A72" s="3" t="s">
        <v>99</v>
      </c>
      <c r="B72" s="16">
        <v>2.4511575999999999E-5</v>
      </c>
      <c r="C72" s="8" t="s">
        <v>100</v>
      </c>
      <c r="D72" s="8" t="str">
        <f t="shared" si="4"/>
        <v>No</v>
      </c>
      <c r="E72" s="9">
        <f>$B72*'Kroger Payments'!C$19</f>
        <v>44.363822533067513</v>
      </c>
      <c r="F72" s="9">
        <f>$B72*'Kroger Payments'!D$19</f>
        <v>44.363822533067513</v>
      </c>
      <c r="G72" s="9">
        <f>$B72*'Kroger Payments'!E$19</f>
        <v>44.363822533067513</v>
      </c>
      <c r="H72" s="9">
        <f>$B72*'Kroger Payments'!F$19</f>
        <v>44.363822533067513</v>
      </c>
      <c r="I72" s="9">
        <f>$B72*'Kroger Payments'!G$19</f>
        <v>44.363822533067513</v>
      </c>
      <c r="J72" s="9">
        <f>$B72*'Kroger Payments'!H$19</f>
        <v>44.363822533067513</v>
      </c>
      <c r="K72" s="9">
        <f>$B72*'Kroger Payments'!I$19</f>
        <v>44.363822533067513</v>
      </c>
      <c r="L72" s="9">
        <f>$B72*'Kroger Payments'!J$19</f>
        <v>46.698760561123699</v>
      </c>
      <c r="M72" s="9">
        <f>$B72*'Kroger Payments'!K$19</f>
        <v>46.698760561123699</v>
      </c>
      <c r="N72" s="9">
        <f>$B72*'Kroger Payments'!L$19</f>
        <v>46.698760561123699</v>
      </c>
      <c r="O72" s="9">
        <f>$B72*'Kroger Payments'!M$19</f>
        <v>46.698760565404413</v>
      </c>
      <c r="P72" s="7">
        <f t="shared" si="3"/>
        <v>497.34179998024814</v>
      </c>
    </row>
    <row r="73" spans="1:16" x14ac:dyDescent="0.35">
      <c r="A73" s="3" t="s">
        <v>14</v>
      </c>
      <c r="B73" s="16">
        <v>3.4701001700000001E-4</v>
      </c>
      <c r="C73" s="8" t="s">
        <v>101</v>
      </c>
      <c r="D73" s="8" t="str">
        <f t="shared" si="4"/>
        <v>No</v>
      </c>
      <c r="E73" s="9">
        <f>$B73*'Kroger Payments'!C$19</f>
        <v>628.05797601038546</v>
      </c>
      <c r="F73" s="9">
        <f>$B73*'Kroger Payments'!D$19</f>
        <v>628.05797601038546</v>
      </c>
      <c r="G73" s="9">
        <f>$B73*'Kroger Payments'!E$19</f>
        <v>628.05797601038546</v>
      </c>
      <c r="H73" s="9">
        <f>$B73*'Kroger Payments'!F$19</f>
        <v>628.05797601038546</v>
      </c>
      <c r="I73" s="9">
        <f>$B73*'Kroger Payments'!G$19</f>
        <v>628.05797601038546</v>
      </c>
      <c r="J73" s="9">
        <f>$B73*'Kroger Payments'!H$19</f>
        <v>628.05797601038546</v>
      </c>
      <c r="K73" s="9">
        <f>$B73*'Kroger Payments'!I$19</f>
        <v>628.05797601038546</v>
      </c>
      <c r="L73" s="9">
        <f>$B73*'Kroger Payments'!J$19</f>
        <v>661.11365895830056</v>
      </c>
      <c r="M73" s="9">
        <f>$B73*'Kroger Payments'!K$19</f>
        <v>661.11365895830056</v>
      </c>
      <c r="N73" s="9">
        <f>$B73*'Kroger Payments'!L$19</f>
        <v>661.11365895830056</v>
      </c>
      <c r="O73" s="9">
        <f>$B73*'Kroger Payments'!M$19</f>
        <v>661.11365901890258</v>
      </c>
      <c r="P73" s="7">
        <f t="shared" si="3"/>
        <v>7040.8604679665013</v>
      </c>
    </row>
    <row r="74" spans="1:16" x14ac:dyDescent="0.35">
      <c r="A74" s="3" t="s">
        <v>102</v>
      </c>
      <c r="B74" s="16">
        <v>1.7221188760000001E-3</v>
      </c>
      <c r="C74" s="8" t="s">
        <v>103</v>
      </c>
      <c r="D74" s="8" t="str">
        <f t="shared" si="4"/>
        <v>No</v>
      </c>
      <c r="E74" s="9">
        <f>$B74*'Kroger Payments'!C$19</f>
        <v>3116.8855154686789</v>
      </c>
      <c r="F74" s="9">
        <f>$B74*'Kroger Payments'!D$19</f>
        <v>3116.8855154686789</v>
      </c>
      <c r="G74" s="9">
        <f>$B74*'Kroger Payments'!E$19</f>
        <v>3116.8855154686789</v>
      </c>
      <c r="H74" s="9">
        <f>$B74*'Kroger Payments'!F$19</f>
        <v>3116.8855154686789</v>
      </c>
      <c r="I74" s="9">
        <f>$B74*'Kroger Payments'!G$19</f>
        <v>3116.8855154686789</v>
      </c>
      <c r="J74" s="9">
        <f>$B74*'Kroger Payments'!H$19</f>
        <v>3116.8855154686789</v>
      </c>
      <c r="K74" s="9">
        <f>$B74*'Kroger Payments'!I$19</f>
        <v>3116.8855154686789</v>
      </c>
      <c r="L74" s="9">
        <f>$B74*'Kroger Payments'!J$19</f>
        <v>3280.9321215459781</v>
      </c>
      <c r="M74" s="9">
        <f>$B74*'Kroger Payments'!K$19</f>
        <v>3280.9321215459781</v>
      </c>
      <c r="N74" s="9">
        <f>$B74*'Kroger Payments'!L$19</f>
        <v>3280.9321215459781</v>
      </c>
      <c r="O74" s="9">
        <f>$B74*'Kroger Payments'!M$19</f>
        <v>3280.9321218467298</v>
      </c>
      <c r="P74" s="7">
        <f t="shared" si="3"/>
        <v>34941.927094765415</v>
      </c>
    </row>
    <row r="75" spans="1:16" x14ac:dyDescent="0.35">
      <c r="A75" s="3" t="s">
        <v>75</v>
      </c>
      <c r="B75" s="16">
        <v>2.8069018339999998E-3</v>
      </c>
      <c r="C75" s="8" t="s">
        <v>104</v>
      </c>
      <c r="D75" s="8" t="str">
        <f t="shared" si="4"/>
        <v>No</v>
      </c>
      <c r="E75" s="9">
        <f>$B75*'Kroger Payments'!C$19</f>
        <v>5080.2484030940204</v>
      </c>
      <c r="F75" s="9">
        <f>$B75*'Kroger Payments'!D$19</f>
        <v>5080.2484030940204</v>
      </c>
      <c r="G75" s="9">
        <f>$B75*'Kroger Payments'!E$19</f>
        <v>5080.2484030940204</v>
      </c>
      <c r="H75" s="9">
        <f>$B75*'Kroger Payments'!F$19</f>
        <v>5080.2484030940204</v>
      </c>
      <c r="I75" s="9">
        <f>$B75*'Kroger Payments'!G$19</f>
        <v>5080.2484030940204</v>
      </c>
      <c r="J75" s="9">
        <f>$B75*'Kroger Payments'!H$19</f>
        <v>5080.2484030940204</v>
      </c>
      <c r="K75" s="9">
        <f>$B75*'Kroger Payments'!I$19</f>
        <v>5080.2484030940204</v>
      </c>
      <c r="L75" s="9">
        <f>$B75*'Kroger Payments'!J$19</f>
        <v>5347.6298979937055</v>
      </c>
      <c r="M75" s="9">
        <f>$B75*'Kroger Payments'!K$19</f>
        <v>5347.6298979937055</v>
      </c>
      <c r="N75" s="9">
        <f>$B75*'Kroger Payments'!L$19</f>
        <v>5347.6298979937055</v>
      </c>
      <c r="O75" s="9">
        <f>$B75*'Kroger Payments'!M$19</f>
        <v>5347.629898483905</v>
      </c>
      <c r="P75" s="7">
        <f t="shared" si="3"/>
        <v>56952.258414123164</v>
      </c>
    </row>
    <row r="76" spans="1:16" x14ac:dyDescent="0.35">
      <c r="A76" s="3" t="s">
        <v>92</v>
      </c>
      <c r="B76" s="16">
        <v>8.964627151E-3</v>
      </c>
      <c r="C76" s="8" t="s">
        <v>92</v>
      </c>
      <c r="D76" s="8" t="str">
        <f t="shared" si="4"/>
        <v>No</v>
      </c>
      <c r="E76" s="9">
        <f>$B76*'Kroger Payments'!C$19</f>
        <v>16225.196127824773</v>
      </c>
      <c r="F76" s="9">
        <f>$B76*'Kroger Payments'!D$19</f>
        <v>16225.196127824773</v>
      </c>
      <c r="G76" s="9">
        <f>$B76*'Kroger Payments'!E$19</f>
        <v>16225.196127824773</v>
      </c>
      <c r="H76" s="9">
        <f>$B76*'Kroger Payments'!F$19</f>
        <v>16225.196127824773</v>
      </c>
      <c r="I76" s="9">
        <f>$B76*'Kroger Payments'!G$19</f>
        <v>16225.196127824773</v>
      </c>
      <c r="J76" s="9">
        <f>$B76*'Kroger Payments'!H$19</f>
        <v>16225.196127824773</v>
      </c>
      <c r="K76" s="9">
        <f>$B76*'Kroger Payments'!I$19</f>
        <v>16225.196127824773</v>
      </c>
      <c r="L76" s="9">
        <f>$B76*'Kroger Payments'!J$19</f>
        <v>17079.153818762919</v>
      </c>
      <c r="M76" s="9">
        <f>$B76*'Kroger Payments'!K$19</f>
        <v>17079.153818762919</v>
      </c>
      <c r="N76" s="9">
        <f>$B76*'Kroger Payments'!L$19</f>
        <v>17079.153818762919</v>
      </c>
      <c r="O76" s="9">
        <f>$B76*'Kroger Payments'!M$19</f>
        <v>17079.153820328505</v>
      </c>
      <c r="P76" s="7">
        <f t="shared" si="3"/>
        <v>181892.98817139069</v>
      </c>
    </row>
    <row r="77" spans="1:16" x14ac:dyDescent="0.35">
      <c r="A77" s="3" t="s">
        <v>105</v>
      </c>
      <c r="B77" s="16">
        <v>9.9077586999999999E-5</v>
      </c>
      <c r="C77" s="8" t="s">
        <v>106</v>
      </c>
      <c r="D77" s="8" t="str">
        <f t="shared" si="4"/>
        <v>No</v>
      </c>
      <c r="E77" s="9">
        <f>$B77*'Kroger Payments'!C$19</f>
        <v>179.3218227449984</v>
      </c>
      <c r="F77" s="9">
        <f>$B77*'Kroger Payments'!D$19</f>
        <v>179.3218227449984</v>
      </c>
      <c r="G77" s="9">
        <f>$B77*'Kroger Payments'!E$19</f>
        <v>179.3218227449984</v>
      </c>
      <c r="H77" s="9">
        <f>$B77*'Kroger Payments'!F$19</f>
        <v>179.3218227449984</v>
      </c>
      <c r="I77" s="9">
        <f>$B77*'Kroger Payments'!G$19</f>
        <v>179.3218227449984</v>
      </c>
      <c r="J77" s="9">
        <f>$B77*'Kroger Payments'!H$19</f>
        <v>179.3218227449984</v>
      </c>
      <c r="K77" s="9">
        <f>$B77*'Kroger Payments'!I$19</f>
        <v>179.3218227449984</v>
      </c>
      <c r="L77" s="9">
        <f>$B77*'Kroger Payments'!J$19</f>
        <v>188.75981341578779</v>
      </c>
      <c r="M77" s="9">
        <f>$B77*'Kroger Payments'!K$19</f>
        <v>188.75981341578779</v>
      </c>
      <c r="N77" s="9">
        <f>$B77*'Kroger Payments'!L$19</f>
        <v>188.75981341578779</v>
      </c>
      <c r="O77" s="9">
        <f>$B77*'Kroger Payments'!M$19</f>
        <v>188.75981343309076</v>
      </c>
      <c r="P77" s="7">
        <f t="shared" si="3"/>
        <v>2010.2920128954431</v>
      </c>
    </row>
    <row r="78" spans="1:16" x14ac:dyDescent="0.35">
      <c r="A78" s="3" t="s">
        <v>107</v>
      </c>
      <c r="B78" s="16">
        <v>3.0345111110000001E-3</v>
      </c>
      <c r="C78" s="8" t="s">
        <v>107</v>
      </c>
      <c r="D78" s="8" t="str">
        <f t="shared" si="4"/>
        <v>No</v>
      </c>
      <c r="E78" s="9">
        <f>$B78*'Kroger Payments'!C$19</f>
        <v>5492.2014154873414</v>
      </c>
      <c r="F78" s="9">
        <f>$B78*'Kroger Payments'!D$19</f>
        <v>5492.2014154873414</v>
      </c>
      <c r="G78" s="9">
        <f>$B78*'Kroger Payments'!E$19</f>
        <v>5492.2014154873414</v>
      </c>
      <c r="H78" s="9">
        <f>$B78*'Kroger Payments'!F$19</f>
        <v>5492.2014154873414</v>
      </c>
      <c r="I78" s="9">
        <f>$B78*'Kroger Payments'!G$19</f>
        <v>5492.2014154873414</v>
      </c>
      <c r="J78" s="9">
        <f>$B78*'Kroger Payments'!H$19</f>
        <v>5492.2014154873414</v>
      </c>
      <c r="K78" s="9">
        <f>$B78*'Kroger Payments'!I$19</f>
        <v>5492.2014154873414</v>
      </c>
      <c r="L78" s="9">
        <f>$B78*'Kroger Payments'!J$19</f>
        <v>5781.2646478814122</v>
      </c>
      <c r="M78" s="9">
        <f>$B78*'Kroger Payments'!K$19</f>
        <v>5781.2646478814122</v>
      </c>
      <c r="N78" s="9">
        <f>$B78*'Kroger Payments'!L$19</f>
        <v>5781.2646478814122</v>
      </c>
      <c r="O78" s="9">
        <f>$B78*'Kroger Payments'!M$19</f>
        <v>5781.2646484113611</v>
      </c>
      <c r="P78" s="7">
        <f t="shared" si="3"/>
        <v>61570.468500466988</v>
      </c>
    </row>
    <row r="79" spans="1:16" x14ac:dyDescent="0.35">
      <c r="A79" s="3" t="s">
        <v>42</v>
      </c>
      <c r="B79" s="16">
        <v>1.3620802099999999E-4</v>
      </c>
      <c r="C79" s="8" t="s">
        <v>108</v>
      </c>
      <c r="D79" s="8" t="str">
        <f t="shared" si="4"/>
        <v>No</v>
      </c>
      <c r="E79" s="9">
        <f>$B79*'Kroger Payments'!C$19</f>
        <v>246.52468169424654</v>
      </c>
      <c r="F79" s="9">
        <f>$B79*'Kroger Payments'!D$19</f>
        <v>246.52468169424654</v>
      </c>
      <c r="G79" s="9">
        <f>$B79*'Kroger Payments'!E$19</f>
        <v>246.52468169424654</v>
      </c>
      <c r="H79" s="9">
        <f>$B79*'Kroger Payments'!F$19</f>
        <v>246.52468169424654</v>
      </c>
      <c r="I79" s="9">
        <f>$B79*'Kroger Payments'!G$19</f>
        <v>246.52468169424654</v>
      </c>
      <c r="J79" s="9">
        <f>$B79*'Kroger Payments'!H$19</f>
        <v>246.52468169424654</v>
      </c>
      <c r="K79" s="9">
        <f>$B79*'Kroger Payments'!I$19</f>
        <v>246.52468169424654</v>
      </c>
      <c r="L79" s="9">
        <f>$B79*'Kroger Payments'!J$19</f>
        <v>259.49966494131212</v>
      </c>
      <c r="M79" s="9">
        <f>$B79*'Kroger Payments'!K$19</f>
        <v>259.49966494131212</v>
      </c>
      <c r="N79" s="9">
        <f>$B79*'Kroger Payments'!L$19</f>
        <v>259.49966494131212</v>
      </c>
      <c r="O79" s="9">
        <f>$B79*'Kroger Payments'!M$19</f>
        <v>259.49966496509961</v>
      </c>
      <c r="P79" s="7">
        <f t="shared" si="3"/>
        <v>2763.6714316487619</v>
      </c>
    </row>
    <row r="80" spans="1:16" x14ac:dyDescent="0.35">
      <c r="A80" s="3" t="s">
        <v>94</v>
      </c>
      <c r="B80" s="16">
        <v>1.61625757E-4</v>
      </c>
      <c r="C80" s="8" t="s">
        <v>109</v>
      </c>
      <c r="D80" s="8" t="str">
        <f t="shared" si="4"/>
        <v>No</v>
      </c>
      <c r="E80" s="9">
        <f>$B80*'Kroger Payments'!C$19</f>
        <v>292.52857508308296</v>
      </c>
      <c r="F80" s="9">
        <f>$B80*'Kroger Payments'!D$19</f>
        <v>292.52857508308296</v>
      </c>
      <c r="G80" s="9">
        <f>$B80*'Kroger Payments'!E$19</f>
        <v>292.52857508308296</v>
      </c>
      <c r="H80" s="9">
        <f>$B80*'Kroger Payments'!F$19</f>
        <v>292.52857508308296</v>
      </c>
      <c r="I80" s="9">
        <f>$B80*'Kroger Payments'!G$19</f>
        <v>292.52857508308296</v>
      </c>
      <c r="J80" s="9">
        <f>$B80*'Kroger Payments'!H$19</f>
        <v>292.52857508308296</v>
      </c>
      <c r="K80" s="9">
        <f>$B80*'Kroger Payments'!I$19</f>
        <v>292.52857508308296</v>
      </c>
      <c r="L80" s="9">
        <f>$B80*'Kroger Payments'!J$19</f>
        <v>307.92481587692942</v>
      </c>
      <c r="M80" s="9">
        <f>$B80*'Kroger Payments'!K$19</f>
        <v>307.92481587692942</v>
      </c>
      <c r="N80" s="9">
        <f>$B80*'Kroger Payments'!L$19</f>
        <v>307.92481587692942</v>
      </c>
      <c r="O80" s="9">
        <f>$B80*'Kroger Payments'!M$19</f>
        <v>307.92481590515587</v>
      </c>
      <c r="P80" s="7">
        <f t="shared" si="3"/>
        <v>3279.3992891175258</v>
      </c>
    </row>
    <row r="81" spans="1:16" x14ac:dyDescent="0.35">
      <c r="A81" s="3" t="s">
        <v>34</v>
      </c>
      <c r="B81" s="16">
        <v>3.6858700500000001E-4</v>
      </c>
      <c r="C81" s="8" t="s">
        <v>110</v>
      </c>
      <c r="D81" s="8" t="str">
        <f t="shared" si="4"/>
        <v>No</v>
      </c>
      <c r="E81" s="9">
        <f>$B81*'Kroger Payments'!C$19</f>
        <v>667.11044927567559</v>
      </c>
      <c r="F81" s="9">
        <f>$B81*'Kroger Payments'!D$19</f>
        <v>667.11044927567559</v>
      </c>
      <c r="G81" s="9">
        <f>$B81*'Kroger Payments'!E$19</f>
        <v>667.11044927567559</v>
      </c>
      <c r="H81" s="9">
        <f>$B81*'Kroger Payments'!F$19</f>
        <v>667.11044927567559</v>
      </c>
      <c r="I81" s="9">
        <f>$B81*'Kroger Payments'!G$19</f>
        <v>667.11044927567559</v>
      </c>
      <c r="J81" s="9">
        <f>$B81*'Kroger Payments'!H$19</f>
        <v>667.11044927567559</v>
      </c>
      <c r="K81" s="9">
        <f>$B81*'Kroger Payments'!I$19</f>
        <v>667.11044927567559</v>
      </c>
      <c r="L81" s="9">
        <f>$B81*'Kroger Payments'!J$19</f>
        <v>702.22152555334276</v>
      </c>
      <c r="M81" s="9">
        <f>$B81*'Kroger Payments'!K$19</f>
        <v>702.22152555334276</v>
      </c>
      <c r="N81" s="9">
        <f>$B81*'Kroger Payments'!L$19</f>
        <v>702.22152555334276</v>
      </c>
      <c r="O81" s="9">
        <f>$B81*'Kroger Payments'!M$19</f>
        <v>702.22152561771304</v>
      </c>
      <c r="P81" s="7">
        <f t="shared" si="3"/>
        <v>7478.6592472074717</v>
      </c>
    </row>
    <row r="82" spans="1:16" x14ac:dyDescent="0.35">
      <c r="A82" s="3" t="s">
        <v>34</v>
      </c>
      <c r="B82" s="16">
        <v>2.7632895449999999E-3</v>
      </c>
      <c r="C82" s="8" t="s">
        <v>111</v>
      </c>
      <c r="D82" s="8" t="str">
        <f t="shared" si="4"/>
        <v>No</v>
      </c>
      <c r="E82" s="9">
        <f>$B82*'Kroger Payments'!C$19</f>
        <v>5001.3139498602977</v>
      </c>
      <c r="F82" s="9">
        <f>$B82*'Kroger Payments'!D$19</f>
        <v>5001.3139498602977</v>
      </c>
      <c r="G82" s="9">
        <f>$B82*'Kroger Payments'!E$19</f>
        <v>5001.3139498602977</v>
      </c>
      <c r="H82" s="9">
        <f>$B82*'Kroger Payments'!F$19</f>
        <v>5001.3139498602977</v>
      </c>
      <c r="I82" s="9">
        <f>$B82*'Kroger Payments'!G$19</f>
        <v>5001.3139498602977</v>
      </c>
      <c r="J82" s="9">
        <f>$B82*'Kroger Payments'!H$19</f>
        <v>5001.3139498602977</v>
      </c>
      <c r="K82" s="9">
        <f>$B82*'Kroger Payments'!I$19</f>
        <v>5001.3139498602977</v>
      </c>
      <c r="L82" s="9">
        <f>$B82*'Kroger Payments'!J$19</f>
        <v>5264.5409998529449</v>
      </c>
      <c r="M82" s="9">
        <f>$B82*'Kroger Payments'!K$19</f>
        <v>5264.5409998529449</v>
      </c>
      <c r="N82" s="9">
        <f>$B82*'Kroger Payments'!L$19</f>
        <v>5264.5409998529449</v>
      </c>
      <c r="O82" s="9">
        <f>$B82*'Kroger Payments'!M$19</f>
        <v>5264.5410003355273</v>
      </c>
      <c r="P82" s="7">
        <f t="shared" si="3"/>
        <v>56067.361648916441</v>
      </c>
    </row>
    <row r="83" spans="1:16" x14ac:dyDescent="0.35">
      <c r="A83" s="3" t="s">
        <v>63</v>
      </c>
      <c r="B83" s="16">
        <v>3.1005125000000001E-5</v>
      </c>
      <c r="C83" s="8" t="s">
        <v>112</v>
      </c>
      <c r="D83" s="8" t="str">
        <f t="shared" si="4"/>
        <v>No</v>
      </c>
      <c r="E83" s="9">
        <f>$B83*'Kroger Payments'!C$19</f>
        <v>56.116581941347832</v>
      </c>
      <c r="F83" s="9">
        <f>$B83*'Kroger Payments'!D$19</f>
        <v>56.116581941347832</v>
      </c>
      <c r="G83" s="9">
        <f>$B83*'Kroger Payments'!E$19</f>
        <v>56.116581941347832</v>
      </c>
      <c r="H83" s="9">
        <f>$B83*'Kroger Payments'!F$19</f>
        <v>56.116581941347832</v>
      </c>
      <c r="I83" s="9">
        <f>$B83*'Kroger Payments'!G$19</f>
        <v>56.116581941347832</v>
      </c>
      <c r="J83" s="9">
        <f>$B83*'Kroger Payments'!H$19</f>
        <v>56.116581941347832</v>
      </c>
      <c r="K83" s="9">
        <f>$B83*'Kroger Payments'!I$19</f>
        <v>56.116581941347832</v>
      </c>
      <c r="L83" s="9">
        <f>$B83*'Kroger Payments'!J$19</f>
        <v>59.070086254050352</v>
      </c>
      <c r="M83" s="9">
        <f>$B83*'Kroger Payments'!K$19</f>
        <v>59.070086254050352</v>
      </c>
      <c r="N83" s="9">
        <f>$B83*'Kroger Payments'!L$19</f>
        <v>59.070086254050352</v>
      </c>
      <c r="O83" s="9">
        <f>$B83*'Kroger Payments'!M$19</f>
        <v>59.070086259465107</v>
      </c>
      <c r="P83" s="7">
        <f t="shared" si="3"/>
        <v>629.09641861105092</v>
      </c>
    </row>
    <row r="84" spans="1:16" x14ac:dyDescent="0.35">
      <c r="A84" s="3" t="s">
        <v>113</v>
      </c>
      <c r="B84" s="16">
        <v>8.0262956800000002E-4</v>
      </c>
      <c r="C84" s="8" t="s">
        <v>114</v>
      </c>
      <c r="D84" s="8" t="str">
        <f t="shared" si="4"/>
        <v>No</v>
      </c>
      <c r="E84" s="9">
        <f>$B84*'Kroger Payments'!C$19</f>
        <v>1452.689770520861</v>
      </c>
      <c r="F84" s="9">
        <f>$B84*'Kroger Payments'!D$19</f>
        <v>1452.689770520861</v>
      </c>
      <c r="G84" s="9">
        <f>$B84*'Kroger Payments'!E$19</f>
        <v>1452.689770520861</v>
      </c>
      <c r="H84" s="9">
        <f>$B84*'Kroger Payments'!F$19</f>
        <v>1452.689770520861</v>
      </c>
      <c r="I84" s="9">
        <f>$B84*'Kroger Payments'!G$19</f>
        <v>1452.689770520861</v>
      </c>
      <c r="J84" s="9">
        <f>$B84*'Kroger Payments'!H$19</f>
        <v>1452.689770520861</v>
      </c>
      <c r="K84" s="9">
        <f>$B84*'Kroger Payments'!I$19</f>
        <v>1452.689770520861</v>
      </c>
      <c r="L84" s="9">
        <f>$B84*'Kroger Payments'!J$19</f>
        <v>1529.1471268640644</v>
      </c>
      <c r="M84" s="9">
        <f>$B84*'Kroger Payments'!K$19</f>
        <v>1529.1471268640644</v>
      </c>
      <c r="N84" s="9">
        <f>$B84*'Kroger Payments'!L$19</f>
        <v>1529.1471268640644</v>
      </c>
      <c r="O84" s="9">
        <f>$B84*'Kroger Payments'!M$19</f>
        <v>1529.1471270042362</v>
      </c>
      <c r="P84" s="7">
        <f t="shared" si="3"/>
        <v>16285.416901242455</v>
      </c>
    </row>
    <row r="85" spans="1:16" x14ac:dyDescent="0.35">
      <c r="A85" s="3" t="s">
        <v>34</v>
      </c>
      <c r="B85" s="16">
        <v>1.4913212029999999E-3</v>
      </c>
      <c r="C85" s="8" t="s">
        <v>115</v>
      </c>
      <c r="D85" s="8" t="str">
        <f t="shared" si="4"/>
        <v>No</v>
      </c>
      <c r="E85" s="9">
        <f>$B85*'Kroger Payments'!C$19</f>
        <v>2699.1617833831961</v>
      </c>
      <c r="F85" s="9">
        <f>$B85*'Kroger Payments'!D$19</f>
        <v>2699.1617833831961</v>
      </c>
      <c r="G85" s="9">
        <f>$B85*'Kroger Payments'!E$19</f>
        <v>2699.1617833831961</v>
      </c>
      <c r="H85" s="9">
        <f>$B85*'Kroger Payments'!F$19</f>
        <v>2699.1617833831961</v>
      </c>
      <c r="I85" s="9">
        <f>$B85*'Kroger Payments'!G$19</f>
        <v>2699.1617833831961</v>
      </c>
      <c r="J85" s="9">
        <f>$B85*'Kroger Payments'!H$19</f>
        <v>2699.1617833831961</v>
      </c>
      <c r="K85" s="9">
        <f>$B85*'Kroger Payments'!I$19</f>
        <v>2699.1617833831961</v>
      </c>
      <c r="L85" s="9">
        <f>$B85*'Kroger Payments'!J$19</f>
        <v>2841.2229298770485</v>
      </c>
      <c r="M85" s="9">
        <f>$B85*'Kroger Payments'!K$19</f>
        <v>2841.2229298770485</v>
      </c>
      <c r="N85" s="9">
        <f>$B85*'Kroger Payments'!L$19</f>
        <v>2841.2229298770485</v>
      </c>
      <c r="O85" s="9">
        <f>$B85*'Kroger Payments'!M$19</f>
        <v>2841.2229301374941</v>
      </c>
      <c r="P85" s="7">
        <f t="shared" si="3"/>
        <v>30259.024203451005</v>
      </c>
    </row>
    <row r="86" spans="1:16" x14ac:dyDescent="0.35">
      <c r="A86" s="3" t="s">
        <v>116</v>
      </c>
      <c r="B86" s="16">
        <v>2.8747960600000001E-4</v>
      </c>
      <c r="C86" s="8" t="s">
        <v>117</v>
      </c>
      <c r="D86" s="8" t="str">
        <f t="shared" si="4"/>
        <v>No</v>
      </c>
      <c r="E86" s="9">
        <f>$B86*'Kroger Payments'!C$19</f>
        <v>520.31310522261685</v>
      </c>
      <c r="F86" s="9">
        <f>$B86*'Kroger Payments'!D$19</f>
        <v>520.31310522261685</v>
      </c>
      <c r="G86" s="9">
        <f>$B86*'Kroger Payments'!E$19</f>
        <v>520.31310522261685</v>
      </c>
      <c r="H86" s="9">
        <f>$B86*'Kroger Payments'!F$19</f>
        <v>520.31310522261685</v>
      </c>
      <c r="I86" s="9">
        <f>$B86*'Kroger Payments'!G$19</f>
        <v>520.31310522261685</v>
      </c>
      <c r="J86" s="9">
        <f>$B86*'Kroger Payments'!H$19</f>
        <v>520.31310522261685</v>
      </c>
      <c r="K86" s="9">
        <f>$B86*'Kroger Payments'!I$19</f>
        <v>520.31310522261685</v>
      </c>
      <c r="L86" s="9">
        <f>$B86*'Kroger Payments'!J$19</f>
        <v>547.69800549749152</v>
      </c>
      <c r="M86" s="9">
        <f>$B86*'Kroger Payments'!K$19</f>
        <v>547.69800549749152</v>
      </c>
      <c r="N86" s="9">
        <f>$B86*'Kroger Payments'!L$19</f>
        <v>547.69800549749152</v>
      </c>
      <c r="O86" s="9">
        <f>$B86*'Kroger Payments'!M$19</f>
        <v>547.69800554769711</v>
      </c>
      <c r="P86" s="7">
        <f t="shared" si="3"/>
        <v>5832.9837585984906</v>
      </c>
    </row>
    <row r="87" spans="1:16" x14ac:dyDescent="0.35">
      <c r="A87" s="3" t="s">
        <v>63</v>
      </c>
      <c r="B87" s="16">
        <v>4.2800953000000002E-4</v>
      </c>
      <c r="C87" s="8" t="s">
        <v>118</v>
      </c>
      <c r="D87" s="8" t="str">
        <f t="shared" si="4"/>
        <v>No</v>
      </c>
      <c r="E87" s="9">
        <f>$B87*'Kroger Payments'!C$19</f>
        <v>774.66005577860994</v>
      </c>
      <c r="F87" s="9">
        <f>$B87*'Kroger Payments'!D$19</f>
        <v>774.66005577860994</v>
      </c>
      <c r="G87" s="9">
        <f>$B87*'Kroger Payments'!E$19</f>
        <v>774.66005577860994</v>
      </c>
      <c r="H87" s="9">
        <f>$B87*'Kroger Payments'!F$19</f>
        <v>774.66005577860994</v>
      </c>
      <c r="I87" s="9">
        <f>$B87*'Kroger Payments'!G$19</f>
        <v>774.66005577860994</v>
      </c>
      <c r="J87" s="9">
        <f>$B87*'Kroger Payments'!H$19</f>
        <v>774.66005577860994</v>
      </c>
      <c r="K87" s="9">
        <f>$B87*'Kroger Payments'!I$19</f>
        <v>774.66005577860994</v>
      </c>
      <c r="L87" s="9">
        <f>$B87*'Kroger Payments'!J$19</f>
        <v>815.43163766169471</v>
      </c>
      <c r="M87" s="9">
        <f>$B87*'Kroger Payments'!K$19</f>
        <v>815.43163766169471</v>
      </c>
      <c r="N87" s="9">
        <f>$B87*'Kroger Payments'!L$19</f>
        <v>815.43163766169471</v>
      </c>
      <c r="O87" s="9">
        <f>$B87*'Kroger Payments'!M$19</f>
        <v>815.43163773644255</v>
      </c>
      <c r="P87" s="7">
        <f t="shared" si="3"/>
        <v>8684.3469411717942</v>
      </c>
    </row>
    <row r="88" spans="1:16" x14ac:dyDescent="0.35">
      <c r="A88" s="3" t="s">
        <v>63</v>
      </c>
      <c r="B88" s="16">
        <v>2.6382255013000001E-2</v>
      </c>
      <c r="C88" s="8" t="s">
        <v>119</v>
      </c>
      <c r="D88" s="8" t="str">
        <f t="shared" si="4"/>
        <v>No</v>
      </c>
      <c r="E88" s="9">
        <f>$B88*'Kroger Payments'!C$19</f>
        <v>47749.588986806186</v>
      </c>
      <c r="F88" s="9">
        <f>$B88*'Kroger Payments'!D$19</f>
        <v>47749.588986806186</v>
      </c>
      <c r="G88" s="9">
        <f>$B88*'Kroger Payments'!E$19</f>
        <v>47749.588986806186</v>
      </c>
      <c r="H88" s="9">
        <f>$B88*'Kroger Payments'!F$19</f>
        <v>47749.588986806186</v>
      </c>
      <c r="I88" s="9">
        <f>$B88*'Kroger Payments'!G$19</f>
        <v>47749.588986806186</v>
      </c>
      <c r="J88" s="9">
        <f>$B88*'Kroger Payments'!H$19</f>
        <v>47749.588986806186</v>
      </c>
      <c r="K88" s="9">
        <f>$B88*'Kroger Payments'!I$19</f>
        <v>47749.588986806186</v>
      </c>
      <c r="L88" s="9">
        <f>$B88*'Kroger Payments'!J$19</f>
        <v>50262.725249269672</v>
      </c>
      <c r="M88" s="9">
        <f>$B88*'Kroger Payments'!K$19</f>
        <v>50262.725249269672</v>
      </c>
      <c r="N88" s="9">
        <f>$B88*'Kroger Payments'!L$19</f>
        <v>50262.725249269672</v>
      </c>
      <c r="O88" s="9">
        <f>$B88*'Kroger Payments'!M$19</f>
        <v>50262.725253877084</v>
      </c>
      <c r="P88" s="7">
        <f t="shared" si="3"/>
        <v>535298.02390932944</v>
      </c>
    </row>
    <row r="89" spans="1:16" x14ac:dyDescent="0.35">
      <c r="A89" s="3" t="s">
        <v>63</v>
      </c>
      <c r="B89" s="16">
        <v>6.2641566E-5</v>
      </c>
      <c r="C89" s="8" t="s">
        <v>120</v>
      </c>
      <c r="D89" s="8" t="str">
        <f t="shared" si="4"/>
        <v>No</v>
      </c>
      <c r="E89" s="9">
        <f>$B89*'Kroger Payments'!C$19</f>
        <v>113.37579098208275</v>
      </c>
      <c r="F89" s="9">
        <f>$B89*'Kroger Payments'!D$19</f>
        <v>113.37579098208275</v>
      </c>
      <c r="G89" s="9">
        <f>$B89*'Kroger Payments'!E$19</f>
        <v>113.37579098208275</v>
      </c>
      <c r="H89" s="9">
        <f>$B89*'Kroger Payments'!F$19</f>
        <v>113.37579098208275</v>
      </c>
      <c r="I89" s="9">
        <f>$B89*'Kroger Payments'!G$19</f>
        <v>113.37579098208275</v>
      </c>
      <c r="J89" s="9">
        <f>$B89*'Kroger Payments'!H$19</f>
        <v>113.37579098208275</v>
      </c>
      <c r="K89" s="9">
        <f>$B89*'Kroger Payments'!I$19</f>
        <v>113.37579098208275</v>
      </c>
      <c r="L89" s="9">
        <f>$B89*'Kroger Payments'!J$19</f>
        <v>119.34293787587657</v>
      </c>
      <c r="M89" s="9">
        <f>$B89*'Kroger Payments'!K$19</f>
        <v>119.34293787587657</v>
      </c>
      <c r="N89" s="9">
        <f>$B89*'Kroger Payments'!L$19</f>
        <v>119.34293787587657</v>
      </c>
      <c r="O89" s="9">
        <f>$B89*'Kroger Payments'!M$19</f>
        <v>119.34293788681634</v>
      </c>
      <c r="P89" s="7">
        <f t="shared" si="3"/>
        <v>1271.0022883890254</v>
      </c>
    </row>
    <row r="90" spans="1:16" x14ac:dyDescent="0.35">
      <c r="A90" s="3" t="s">
        <v>121</v>
      </c>
      <c r="B90" s="16">
        <v>1.5800717900000001E-4</v>
      </c>
      <c r="C90" s="8" t="s">
        <v>122</v>
      </c>
      <c r="D90" s="8" t="str">
        <f t="shared" si="4"/>
        <v>No</v>
      </c>
      <c r="E90" s="9">
        <f>$B90*'Kroger Payments'!C$19</f>
        <v>285.97926335322677</v>
      </c>
      <c r="F90" s="9">
        <f>$B90*'Kroger Payments'!D$19</f>
        <v>285.97926335322677</v>
      </c>
      <c r="G90" s="9">
        <f>$B90*'Kroger Payments'!E$19</f>
        <v>285.97926335322677</v>
      </c>
      <c r="H90" s="9">
        <f>$B90*'Kroger Payments'!F$19</f>
        <v>285.97926335322677</v>
      </c>
      <c r="I90" s="9">
        <f>$B90*'Kroger Payments'!G$19</f>
        <v>285.97926335322677</v>
      </c>
      <c r="J90" s="9">
        <f>$B90*'Kroger Payments'!H$19</f>
        <v>285.97926335322677</v>
      </c>
      <c r="K90" s="9">
        <f>$B90*'Kroger Payments'!I$19</f>
        <v>285.97926335322677</v>
      </c>
      <c r="L90" s="9">
        <f>$B90*'Kroger Payments'!J$19</f>
        <v>301.03080352971239</v>
      </c>
      <c r="M90" s="9">
        <f>$B90*'Kroger Payments'!K$19</f>
        <v>301.03080352971239</v>
      </c>
      <c r="N90" s="9">
        <f>$B90*'Kroger Payments'!L$19</f>
        <v>301.03080352971239</v>
      </c>
      <c r="O90" s="9">
        <f>$B90*'Kroger Payments'!M$19</f>
        <v>301.03080355730685</v>
      </c>
      <c r="P90" s="7">
        <f t="shared" si="3"/>
        <v>3205.9780576190315</v>
      </c>
    </row>
    <row r="91" spans="1:16" x14ac:dyDescent="0.35">
      <c r="A91" s="3" t="s">
        <v>75</v>
      </c>
      <c r="B91" s="16">
        <v>1.3403291790000001E-3</v>
      </c>
      <c r="C91" s="8" t="s">
        <v>123</v>
      </c>
      <c r="D91" s="8" t="str">
        <f t="shared" si="4"/>
        <v>No</v>
      </c>
      <c r="E91" s="9">
        <f>$B91*'Kroger Payments'!C$19</f>
        <v>2425.8793409713062</v>
      </c>
      <c r="F91" s="9">
        <f>$B91*'Kroger Payments'!D$19</f>
        <v>2425.8793409713062</v>
      </c>
      <c r="G91" s="9">
        <f>$B91*'Kroger Payments'!E$19</f>
        <v>2425.8793409713062</v>
      </c>
      <c r="H91" s="9">
        <f>$B91*'Kroger Payments'!F$19</f>
        <v>2425.8793409713062</v>
      </c>
      <c r="I91" s="9">
        <f>$B91*'Kroger Payments'!G$19</f>
        <v>2425.8793409713062</v>
      </c>
      <c r="J91" s="9">
        <f>$B91*'Kroger Payments'!H$19</f>
        <v>2425.8793409713062</v>
      </c>
      <c r="K91" s="9">
        <f>$B91*'Kroger Payments'!I$19</f>
        <v>2425.8793409713062</v>
      </c>
      <c r="L91" s="9">
        <f>$B91*'Kroger Payments'!J$19</f>
        <v>2553.5572010224273</v>
      </c>
      <c r="M91" s="9">
        <f>$B91*'Kroger Payments'!K$19</f>
        <v>2553.5572010224273</v>
      </c>
      <c r="N91" s="9">
        <f>$B91*'Kroger Payments'!L$19</f>
        <v>2553.5572010224273</v>
      </c>
      <c r="O91" s="9">
        <f>$B91*'Kroger Payments'!M$19</f>
        <v>2553.5572012565035</v>
      </c>
      <c r="P91" s="7">
        <f t="shared" si="3"/>
        <v>27195.384191122932</v>
      </c>
    </row>
    <row r="92" spans="1:16" x14ac:dyDescent="0.35">
      <c r="A92" s="3" t="s">
        <v>45</v>
      </c>
      <c r="B92" s="16">
        <v>8.1807835799999995E-4</v>
      </c>
      <c r="C92" s="8" t="s">
        <v>124</v>
      </c>
      <c r="D92" s="8" t="str">
        <f t="shared" si="4"/>
        <v>No</v>
      </c>
      <c r="E92" s="9">
        <f>$B92*'Kroger Payments'!C$19</f>
        <v>1480.6507379393013</v>
      </c>
      <c r="F92" s="9">
        <f>$B92*'Kroger Payments'!D$19</f>
        <v>1480.6507379393013</v>
      </c>
      <c r="G92" s="9">
        <f>$B92*'Kroger Payments'!E$19</f>
        <v>1480.6507379393013</v>
      </c>
      <c r="H92" s="9">
        <f>$B92*'Kroger Payments'!F$19</f>
        <v>1480.6507379393013</v>
      </c>
      <c r="I92" s="9">
        <f>$B92*'Kroger Payments'!G$19</f>
        <v>1480.6507379393013</v>
      </c>
      <c r="J92" s="9">
        <f>$B92*'Kroger Payments'!H$19</f>
        <v>1480.6507379393013</v>
      </c>
      <c r="K92" s="9">
        <f>$B92*'Kroger Payments'!I$19</f>
        <v>1480.6507379393013</v>
      </c>
      <c r="L92" s="9">
        <f>$B92*'Kroger Payments'!J$19</f>
        <v>1558.579724146633</v>
      </c>
      <c r="M92" s="9">
        <f>$B92*'Kroger Payments'!K$19</f>
        <v>1558.579724146633</v>
      </c>
      <c r="N92" s="9">
        <f>$B92*'Kroger Payments'!L$19</f>
        <v>1558.579724146633</v>
      </c>
      <c r="O92" s="9">
        <f>$B92*'Kroger Payments'!M$19</f>
        <v>1558.5797242895028</v>
      </c>
      <c r="P92" s="7">
        <f t="shared" si="3"/>
        <v>16598.874062304512</v>
      </c>
    </row>
    <row r="93" spans="1:16" x14ac:dyDescent="0.35">
      <c r="A93" s="3" t="s">
        <v>105</v>
      </c>
      <c r="B93" s="16">
        <v>2.1633682400000001E-4</v>
      </c>
      <c r="C93" s="8" t="s">
        <v>125</v>
      </c>
      <c r="D93" s="8" t="str">
        <f t="shared" si="4"/>
        <v>No</v>
      </c>
      <c r="E93" s="9">
        <f>$B93*'Kroger Payments'!C$19</f>
        <v>391.55085202613901</v>
      </c>
      <c r="F93" s="9">
        <f>$B93*'Kroger Payments'!D$19</f>
        <v>391.55085202613901</v>
      </c>
      <c r="G93" s="9">
        <f>$B93*'Kroger Payments'!E$19</f>
        <v>391.55085202613901</v>
      </c>
      <c r="H93" s="9">
        <f>$B93*'Kroger Payments'!F$19</f>
        <v>391.55085202613901</v>
      </c>
      <c r="I93" s="9">
        <f>$B93*'Kroger Payments'!G$19</f>
        <v>391.55085202613901</v>
      </c>
      <c r="J93" s="9">
        <f>$B93*'Kroger Payments'!H$19</f>
        <v>391.55085202613901</v>
      </c>
      <c r="K93" s="9">
        <f>$B93*'Kroger Payments'!I$19</f>
        <v>391.55085202613901</v>
      </c>
      <c r="L93" s="9">
        <f>$B93*'Kroger Payments'!J$19</f>
        <v>412.15879160646216</v>
      </c>
      <c r="M93" s="9">
        <f>$B93*'Kroger Payments'!K$19</f>
        <v>412.15879160646216</v>
      </c>
      <c r="N93" s="9">
        <f>$B93*'Kroger Payments'!L$19</f>
        <v>412.15879160646216</v>
      </c>
      <c r="O93" s="9">
        <f>$B93*'Kroger Payments'!M$19</f>
        <v>412.15879164424337</v>
      </c>
      <c r="P93" s="7">
        <f t="shared" si="3"/>
        <v>4389.4911306466038</v>
      </c>
    </row>
    <row r="94" spans="1:16" x14ac:dyDescent="0.35">
      <c r="A94" s="3" t="s">
        <v>14</v>
      </c>
      <c r="B94" s="16">
        <v>1.5047259900000001E-4</v>
      </c>
      <c r="C94" s="8" t="s">
        <v>339</v>
      </c>
      <c r="D94" s="8" t="str">
        <f t="shared" si="4"/>
        <v>No</v>
      </c>
      <c r="E94" s="9">
        <f>$B94*'Kroger Payments'!C$19</f>
        <v>272.34232829930772</v>
      </c>
      <c r="F94" s="9">
        <f>$B94*'Kroger Payments'!D$19</f>
        <v>272.34232829930772</v>
      </c>
      <c r="G94" s="9">
        <f>$B94*'Kroger Payments'!E$19</f>
        <v>272.34232829930772</v>
      </c>
      <c r="H94" s="9">
        <f>$B94*'Kroger Payments'!F$19</f>
        <v>272.34232829930772</v>
      </c>
      <c r="I94" s="9">
        <f>$B94*'Kroger Payments'!G$19</f>
        <v>272.34232829930772</v>
      </c>
      <c r="J94" s="9">
        <f>$B94*'Kroger Payments'!H$19</f>
        <v>272.34232829930772</v>
      </c>
      <c r="K94" s="9">
        <f>$B94*'Kroger Payments'!I$19</f>
        <v>272.34232829930772</v>
      </c>
      <c r="L94" s="9">
        <f>$B94*'Kroger Payments'!J$19</f>
        <v>286.67613505190292</v>
      </c>
      <c r="M94" s="9">
        <f>$B94*'Kroger Payments'!K$19</f>
        <v>286.67613505190292</v>
      </c>
      <c r="N94" s="9">
        <f>$B94*'Kroger Payments'!L$19</f>
        <v>286.67613505190292</v>
      </c>
      <c r="O94" s="9">
        <f>$B94*'Kroger Payments'!M$19</f>
        <v>286.67613507818152</v>
      </c>
      <c r="P94" s="7">
        <f t="shared" si="3"/>
        <v>3053.1008383290437</v>
      </c>
    </row>
    <row r="95" spans="1:16" x14ac:dyDescent="0.35">
      <c r="A95" s="3" t="s">
        <v>22</v>
      </c>
      <c r="B95" s="16">
        <v>6.0284981500000002E-4</v>
      </c>
      <c r="C95" s="8" t="s">
        <v>127</v>
      </c>
      <c r="D95" s="8" t="str">
        <f t="shared" si="4"/>
        <v>No</v>
      </c>
      <c r="E95" s="9">
        <f>$B95*'Kroger Payments'!C$19</f>
        <v>1091.1057782148557</v>
      </c>
      <c r="F95" s="9">
        <f>$B95*'Kroger Payments'!D$19</f>
        <v>1091.1057782148557</v>
      </c>
      <c r="G95" s="9">
        <f>$B95*'Kroger Payments'!E$19</f>
        <v>1091.1057782148557</v>
      </c>
      <c r="H95" s="9">
        <f>$B95*'Kroger Payments'!F$19</f>
        <v>1091.1057782148557</v>
      </c>
      <c r="I95" s="9">
        <f>$B95*'Kroger Payments'!G$19</f>
        <v>1091.1057782148557</v>
      </c>
      <c r="J95" s="9">
        <f>$B95*'Kroger Payments'!H$19</f>
        <v>1091.1057782148557</v>
      </c>
      <c r="K95" s="9">
        <f>$B95*'Kroger Payments'!I$19</f>
        <v>1091.1057782148557</v>
      </c>
      <c r="L95" s="9">
        <f>$B95*'Kroger Payments'!J$19</f>
        <v>1148.5323981209008</v>
      </c>
      <c r="M95" s="9">
        <f>$B95*'Kroger Payments'!K$19</f>
        <v>1148.5323981209008</v>
      </c>
      <c r="N95" s="9">
        <f>$B95*'Kroger Payments'!L$19</f>
        <v>1148.5323981209008</v>
      </c>
      <c r="O95" s="9">
        <f>$B95*'Kroger Payments'!M$19</f>
        <v>1148.532398226183</v>
      </c>
      <c r="P95" s="7">
        <f t="shared" si="3"/>
        <v>12231.870040092874</v>
      </c>
    </row>
    <row r="96" spans="1:16" x14ac:dyDescent="0.35">
      <c r="A96" s="3" t="s">
        <v>99</v>
      </c>
      <c r="B96" s="16">
        <v>6.8054640000000002E-6</v>
      </c>
      <c r="C96" s="8" t="s">
        <v>128</v>
      </c>
      <c r="D96" s="8" t="str">
        <f t="shared" si="4"/>
        <v>Yes</v>
      </c>
      <c r="E96" s="9">
        <f>$B96*'Kroger Payments'!C$19</f>
        <v>12.317298453236127</v>
      </c>
      <c r="F96" s="9">
        <f>$B96*'Kroger Payments'!D$19</f>
        <v>12.317298453236127</v>
      </c>
      <c r="G96" s="9">
        <f>$B96*'Kroger Payments'!E$19</f>
        <v>12.317298453236127</v>
      </c>
      <c r="H96" s="9">
        <f>$B96*'Kroger Payments'!F$19</f>
        <v>12.317298453236127</v>
      </c>
      <c r="I96" s="9">
        <f>$B96*'Kroger Payments'!G$19</f>
        <v>12.317298453236127</v>
      </c>
      <c r="J96" s="9">
        <f>$B96*'Kroger Payments'!H$19</f>
        <v>12.317298453236127</v>
      </c>
      <c r="K96" s="9">
        <f>$B96*'Kroger Payments'!I$19</f>
        <v>12.317298453236127</v>
      </c>
      <c r="L96" s="9">
        <f>$B96*'Kroger Payments'!J$19</f>
        <v>12.965577319195923</v>
      </c>
      <c r="M96" s="9">
        <f>$B96*'Kroger Payments'!K$19</f>
        <v>12.965577319195923</v>
      </c>
      <c r="N96" s="9">
        <f>$B96*'Kroger Payments'!L$19</f>
        <v>12.965577319195923</v>
      </c>
      <c r="O96" s="9">
        <f>$B96*'Kroger Payments'!M$19</f>
        <v>12.965577320384435</v>
      </c>
      <c r="P96" s="7">
        <f t="shared" si="3"/>
        <v>138.08339845062505</v>
      </c>
    </row>
    <row r="97" spans="1:16" x14ac:dyDescent="0.35">
      <c r="A97" s="3" t="s">
        <v>63</v>
      </c>
      <c r="B97" s="16">
        <v>2.1665693900000001E-4</v>
      </c>
      <c r="C97" s="8" t="s">
        <v>129</v>
      </c>
      <c r="D97" s="8" t="str">
        <f t="shared" si="4"/>
        <v>No</v>
      </c>
      <c r="E97" s="9">
        <f>$B97*'Kroger Payments'!C$19</f>
        <v>392.13023235852455</v>
      </c>
      <c r="F97" s="9">
        <f>$B97*'Kroger Payments'!D$19</f>
        <v>392.13023235852455</v>
      </c>
      <c r="G97" s="9">
        <f>$B97*'Kroger Payments'!E$19</f>
        <v>392.13023235852455</v>
      </c>
      <c r="H97" s="9">
        <f>$B97*'Kroger Payments'!F$19</f>
        <v>392.13023235852455</v>
      </c>
      <c r="I97" s="9">
        <f>$B97*'Kroger Payments'!G$19</f>
        <v>392.13023235852455</v>
      </c>
      <c r="J97" s="9">
        <f>$B97*'Kroger Payments'!H$19</f>
        <v>392.13023235852455</v>
      </c>
      <c r="K97" s="9">
        <f>$B97*'Kroger Payments'!I$19</f>
        <v>392.13023235852455</v>
      </c>
      <c r="L97" s="9">
        <f>$B97*'Kroger Payments'!J$19</f>
        <v>412.76866564055217</v>
      </c>
      <c r="M97" s="9">
        <f>$B97*'Kroger Payments'!K$19</f>
        <v>412.76866564055217</v>
      </c>
      <c r="N97" s="9">
        <f>$B97*'Kroger Payments'!L$19</f>
        <v>412.76866564055217</v>
      </c>
      <c r="O97" s="9">
        <f>$B97*'Kroger Payments'!M$19</f>
        <v>412.76866567838931</v>
      </c>
      <c r="P97" s="7">
        <f t="shared" si="3"/>
        <v>4395.9862891097173</v>
      </c>
    </row>
    <row r="98" spans="1:16" x14ac:dyDescent="0.35">
      <c r="A98" s="3" t="s">
        <v>63</v>
      </c>
      <c r="B98" s="16">
        <v>1.8384534881999998E-2</v>
      </c>
      <c r="C98" s="8" t="s">
        <v>63</v>
      </c>
      <c r="D98" s="8" t="str">
        <f t="shared" si="4"/>
        <v>No</v>
      </c>
      <c r="E98" s="9">
        <f>$B98*'Kroger Payments'!C$19</f>
        <v>33274.410542106198</v>
      </c>
      <c r="F98" s="9">
        <f>$B98*'Kroger Payments'!D$19</f>
        <v>33274.410542106198</v>
      </c>
      <c r="G98" s="9">
        <f>$B98*'Kroger Payments'!E$19</f>
        <v>33274.410542106198</v>
      </c>
      <c r="H98" s="9">
        <f>$B98*'Kroger Payments'!F$19</f>
        <v>33274.410542106198</v>
      </c>
      <c r="I98" s="9">
        <f>$B98*'Kroger Payments'!G$19</f>
        <v>33274.410542106198</v>
      </c>
      <c r="J98" s="9">
        <f>$B98*'Kroger Payments'!H$19</f>
        <v>33274.410542106198</v>
      </c>
      <c r="K98" s="9">
        <f>$B98*'Kroger Payments'!I$19</f>
        <v>33274.410542106198</v>
      </c>
      <c r="L98" s="9">
        <f>$B98*'Kroger Payments'!J$19</f>
        <v>35025.695307480208</v>
      </c>
      <c r="M98" s="9">
        <f>$B98*'Kroger Payments'!K$19</f>
        <v>35025.695307480208</v>
      </c>
      <c r="N98" s="9">
        <f>$B98*'Kroger Payments'!L$19</f>
        <v>35025.695307480208</v>
      </c>
      <c r="O98" s="9">
        <f>$B98*'Kroger Payments'!M$19</f>
        <v>35025.695310690891</v>
      </c>
      <c r="P98" s="7">
        <f t="shared" si="3"/>
        <v>373023.65502787498</v>
      </c>
    </row>
    <row r="99" spans="1:16" x14ac:dyDescent="0.35">
      <c r="A99" s="3" t="s">
        <v>60</v>
      </c>
      <c r="B99" s="16">
        <v>1.2654570000000001E-6</v>
      </c>
      <c r="C99" s="8" t="s">
        <v>130</v>
      </c>
      <c r="D99" s="8" t="str">
        <f t="shared" si="4"/>
        <v>Yes</v>
      </c>
      <c r="E99" s="9">
        <f>$B99*'Kroger Payments'!C$19</f>
        <v>2.2903672032850118</v>
      </c>
      <c r="F99" s="9">
        <f>$B99*'Kroger Payments'!D$19</f>
        <v>2.2903672032850118</v>
      </c>
      <c r="G99" s="9">
        <f>$B99*'Kroger Payments'!E$19</f>
        <v>2.2903672032850118</v>
      </c>
      <c r="H99" s="9">
        <f>$B99*'Kroger Payments'!F$19</f>
        <v>2.2903672032850118</v>
      </c>
      <c r="I99" s="9">
        <f>$B99*'Kroger Payments'!G$19</f>
        <v>2.2903672032850118</v>
      </c>
      <c r="J99" s="9">
        <f>$B99*'Kroger Payments'!H$19</f>
        <v>2.2903672032850118</v>
      </c>
      <c r="K99" s="9">
        <f>$B99*'Kroger Payments'!I$19</f>
        <v>2.2903672032850118</v>
      </c>
      <c r="L99" s="9">
        <f>$B99*'Kroger Payments'!J$19</f>
        <v>2.4109128455631703</v>
      </c>
      <c r="M99" s="9">
        <f>$B99*'Kroger Payments'!K$19</f>
        <v>2.4109128455631703</v>
      </c>
      <c r="N99" s="9">
        <f>$B99*'Kroger Payments'!L$19</f>
        <v>2.4109128455631703</v>
      </c>
      <c r="O99" s="9">
        <f>$B99*'Kroger Payments'!M$19</f>
        <v>2.4109128457841709</v>
      </c>
      <c r="P99" s="7">
        <f t="shared" si="3"/>
        <v>25.676221805468767</v>
      </c>
    </row>
    <row r="100" spans="1:16" x14ac:dyDescent="0.35">
      <c r="A100" s="3" t="s">
        <v>24</v>
      </c>
      <c r="B100" s="16">
        <v>1.2053809399999999E-4</v>
      </c>
      <c r="C100" s="8" t="s">
        <v>131</v>
      </c>
      <c r="D100" s="8" t="str">
        <f t="shared" si="4"/>
        <v>No</v>
      </c>
      <c r="E100" s="9">
        <f>$B100*'Kroger Payments'!C$19</f>
        <v>218.1634755223495</v>
      </c>
      <c r="F100" s="9">
        <f>$B100*'Kroger Payments'!D$19</f>
        <v>218.1634755223495</v>
      </c>
      <c r="G100" s="9">
        <f>$B100*'Kroger Payments'!E$19</f>
        <v>218.1634755223495</v>
      </c>
      <c r="H100" s="9">
        <f>$B100*'Kroger Payments'!F$19</f>
        <v>218.1634755223495</v>
      </c>
      <c r="I100" s="9">
        <f>$B100*'Kroger Payments'!G$19</f>
        <v>218.1634755223495</v>
      </c>
      <c r="J100" s="9">
        <f>$B100*'Kroger Payments'!H$19</f>
        <v>218.1634755223495</v>
      </c>
      <c r="K100" s="9">
        <f>$B100*'Kroger Payments'!I$19</f>
        <v>218.1634755223495</v>
      </c>
      <c r="L100" s="9">
        <f>$B100*'Kroger Payments'!J$19</f>
        <v>229.64576370773634</v>
      </c>
      <c r="M100" s="9">
        <f>$B100*'Kroger Payments'!K$19</f>
        <v>229.64576370773634</v>
      </c>
      <c r="N100" s="9">
        <f>$B100*'Kroger Payments'!L$19</f>
        <v>229.64576370773634</v>
      </c>
      <c r="O100" s="9">
        <f>$B100*'Kroger Payments'!M$19</f>
        <v>229.64576372878719</v>
      </c>
      <c r="P100" s="7">
        <f t="shared" si="3"/>
        <v>2445.7273835084425</v>
      </c>
    </row>
    <row r="101" spans="1:16" x14ac:dyDescent="0.35">
      <c r="A101" s="3" t="s">
        <v>132</v>
      </c>
      <c r="B101" s="16">
        <v>3.5985711000000001E-3</v>
      </c>
      <c r="C101" s="8" t="s">
        <v>132</v>
      </c>
      <c r="D101" s="8" t="str">
        <f t="shared" si="4"/>
        <v>No</v>
      </c>
      <c r="E101" s="9">
        <f>$B101*'Kroger Payments'!C$19</f>
        <v>6513.100979432149</v>
      </c>
      <c r="F101" s="9">
        <f>$B101*'Kroger Payments'!D$19</f>
        <v>6513.100979432149</v>
      </c>
      <c r="G101" s="9">
        <f>$B101*'Kroger Payments'!E$19</f>
        <v>6513.100979432149</v>
      </c>
      <c r="H101" s="9">
        <f>$B101*'Kroger Payments'!F$19</f>
        <v>6513.100979432149</v>
      </c>
      <c r="I101" s="9">
        <f>$B101*'Kroger Payments'!G$19</f>
        <v>6513.100979432149</v>
      </c>
      <c r="J101" s="9">
        <f>$B101*'Kroger Payments'!H$19</f>
        <v>6513.100979432149</v>
      </c>
      <c r="K101" s="9">
        <f>$B101*'Kroger Payments'!I$19</f>
        <v>6513.100979432149</v>
      </c>
      <c r="L101" s="9">
        <f>$B101*'Kroger Payments'!J$19</f>
        <v>6855.8957678233146</v>
      </c>
      <c r="M101" s="9">
        <f>$B101*'Kroger Payments'!K$19</f>
        <v>6855.8957678233146</v>
      </c>
      <c r="N101" s="9">
        <f>$B101*'Kroger Payments'!L$19</f>
        <v>6855.8957678233146</v>
      </c>
      <c r="O101" s="9">
        <f>$B101*'Kroger Payments'!M$19</f>
        <v>6855.8957684517718</v>
      </c>
      <c r="P101" s="7">
        <f t="shared" si="3"/>
        <v>73015.289927946753</v>
      </c>
    </row>
    <row r="102" spans="1:16" x14ac:dyDescent="0.35">
      <c r="A102" s="3" t="s">
        <v>133</v>
      </c>
      <c r="B102" s="16">
        <v>1.2496512120000001E-3</v>
      </c>
      <c r="C102" s="8" t="s">
        <v>133</v>
      </c>
      <c r="D102" s="8" t="str">
        <f t="shared" si="4"/>
        <v>No</v>
      </c>
      <c r="E102" s="9">
        <f>$B102*'Kroger Payments'!C$19</f>
        <v>2261.7601005092747</v>
      </c>
      <c r="F102" s="9">
        <f>$B102*'Kroger Payments'!D$19</f>
        <v>2261.7601005092747</v>
      </c>
      <c r="G102" s="9">
        <f>$B102*'Kroger Payments'!E$19</f>
        <v>2261.7601005092747</v>
      </c>
      <c r="H102" s="9">
        <f>$B102*'Kroger Payments'!F$19</f>
        <v>2261.7601005092747</v>
      </c>
      <c r="I102" s="9">
        <f>$B102*'Kroger Payments'!G$19</f>
        <v>2261.7601005092747</v>
      </c>
      <c r="J102" s="9">
        <f>$B102*'Kroger Payments'!H$19</f>
        <v>2261.7601005092747</v>
      </c>
      <c r="K102" s="9">
        <f>$B102*'Kroger Payments'!I$19</f>
        <v>2261.7601005092747</v>
      </c>
      <c r="L102" s="9">
        <f>$B102*'Kroger Payments'!J$19</f>
        <v>2380.8001057992369</v>
      </c>
      <c r="M102" s="9">
        <f>$B102*'Kroger Payments'!K$19</f>
        <v>2380.8001057992369</v>
      </c>
      <c r="N102" s="9">
        <f>$B102*'Kroger Payments'!L$19</f>
        <v>2380.8001057992369</v>
      </c>
      <c r="O102" s="9">
        <f>$B102*'Kroger Payments'!M$19</f>
        <v>2380.8001060174765</v>
      </c>
      <c r="P102" s="7">
        <f t="shared" si="3"/>
        <v>25355.521126980111</v>
      </c>
    </row>
    <row r="103" spans="1:16" x14ac:dyDescent="0.35">
      <c r="A103" s="3" t="s">
        <v>63</v>
      </c>
      <c r="B103" s="16">
        <v>3.5115958399999997E-4</v>
      </c>
      <c r="C103" s="8" t="s">
        <v>134</v>
      </c>
      <c r="D103" s="8" t="str">
        <f t="shared" si="4"/>
        <v>No</v>
      </c>
      <c r="E103" s="9">
        <f>$B103*'Kroger Payments'!C$19</f>
        <v>635.56833168792627</v>
      </c>
      <c r="F103" s="9">
        <f>$B103*'Kroger Payments'!D$19</f>
        <v>635.56833168792627</v>
      </c>
      <c r="G103" s="9">
        <f>$B103*'Kroger Payments'!E$19</f>
        <v>635.56833168792627</v>
      </c>
      <c r="H103" s="9">
        <f>$B103*'Kroger Payments'!F$19</f>
        <v>635.56833168792627</v>
      </c>
      <c r="I103" s="9">
        <f>$B103*'Kroger Payments'!G$19</f>
        <v>635.56833168792627</v>
      </c>
      <c r="J103" s="9">
        <f>$B103*'Kroger Payments'!H$19</f>
        <v>635.56833168792627</v>
      </c>
      <c r="K103" s="9">
        <f>$B103*'Kroger Payments'!I$19</f>
        <v>635.56833168792627</v>
      </c>
      <c r="L103" s="9">
        <f>$B103*'Kroger Payments'!J$19</f>
        <v>669.01929651360661</v>
      </c>
      <c r="M103" s="9">
        <f>$B103*'Kroger Payments'!K$19</f>
        <v>669.01929651360661</v>
      </c>
      <c r="N103" s="9">
        <f>$B103*'Kroger Payments'!L$19</f>
        <v>669.01929651360661</v>
      </c>
      <c r="O103" s="9">
        <f>$B103*'Kroger Payments'!M$19</f>
        <v>669.01929657493338</v>
      </c>
      <c r="P103" s="7">
        <f t="shared" si="3"/>
        <v>7125.055507931238</v>
      </c>
    </row>
    <row r="104" spans="1:16" x14ac:dyDescent="0.35">
      <c r="A104" s="3" t="s">
        <v>24</v>
      </c>
      <c r="B104" s="16">
        <v>1.8870858700000001E-4</v>
      </c>
      <c r="C104" s="8" t="s">
        <v>135</v>
      </c>
      <c r="D104" s="8" t="str">
        <f t="shared" si="4"/>
        <v>No</v>
      </c>
      <c r="E104" s="9">
        <f>$B104*'Kroger Payments'!C$19</f>
        <v>341.54614391722225</v>
      </c>
      <c r="F104" s="9">
        <f>$B104*'Kroger Payments'!D$19</f>
        <v>341.54614391722225</v>
      </c>
      <c r="G104" s="9">
        <f>$B104*'Kroger Payments'!E$19</f>
        <v>341.54614391722225</v>
      </c>
      <c r="H104" s="9">
        <f>$B104*'Kroger Payments'!F$19</f>
        <v>341.54614391722225</v>
      </c>
      <c r="I104" s="9">
        <f>$B104*'Kroger Payments'!G$19</f>
        <v>341.54614391722225</v>
      </c>
      <c r="J104" s="9">
        <f>$B104*'Kroger Payments'!H$19</f>
        <v>341.54614391722225</v>
      </c>
      <c r="K104" s="9">
        <f>$B104*'Kroger Payments'!I$19</f>
        <v>341.54614391722225</v>
      </c>
      <c r="L104" s="9">
        <f>$B104*'Kroger Payments'!J$19</f>
        <v>359.52225675497084</v>
      </c>
      <c r="M104" s="9">
        <f>$B104*'Kroger Payments'!K$19</f>
        <v>359.52225675497084</v>
      </c>
      <c r="N104" s="9">
        <f>$B104*'Kroger Payments'!L$19</f>
        <v>359.52225675497084</v>
      </c>
      <c r="O104" s="9">
        <f>$B104*'Kroger Payments'!M$19</f>
        <v>359.52225678792701</v>
      </c>
      <c r="P104" s="7">
        <f t="shared" si="3"/>
        <v>3828.9120344733951</v>
      </c>
    </row>
    <row r="105" spans="1:16" x14ac:dyDescent="0.35">
      <c r="A105" s="3" t="s">
        <v>24</v>
      </c>
      <c r="B105" s="16">
        <v>5.8192936699999996E-4</v>
      </c>
      <c r="C105" s="8" t="s">
        <v>136</v>
      </c>
      <c r="D105" s="8" t="str">
        <f t="shared" si="4"/>
        <v>No</v>
      </c>
      <c r="E105" s="9">
        <f>$B105*'Kroger Payments'!C$19</f>
        <v>1053.2415852970169</v>
      </c>
      <c r="F105" s="9">
        <f>$B105*'Kroger Payments'!D$19</f>
        <v>1053.2415852970169</v>
      </c>
      <c r="G105" s="9">
        <f>$B105*'Kroger Payments'!E$19</f>
        <v>1053.2415852970169</v>
      </c>
      <c r="H105" s="9">
        <f>$B105*'Kroger Payments'!F$19</f>
        <v>1053.2415852970169</v>
      </c>
      <c r="I105" s="9">
        <f>$B105*'Kroger Payments'!G$19</f>
        <v>1053.2415852970169</v>
      </c>
      <c r="J105" s="9">
        <f>$B105*'Kroger Payments'!H$19</f>
        <v>1053.2415852970169</v>
      </c>
      <c r="K105" s="9">
        <f>$B105*'Kroger Payments'!I$19</f>
        <v>1053.2415852970169</v>
      </c>
      <c r="L105" s="9">
        <f>$B105*'Kroger Payments'!J$19</f>
        <v>1108.6753529442283</v>
      </c>
      <c r="M105" s="9">
        <f>$B105*'Kroger Payments'!K$19</f>
        <v>1108.6753529442283</v>
      </c>
      <c r="N105" s="9">
        <f>$B105*'Kroger Payments'!L$19</f>
        <v>1108.6753529442283</v>
      </c>
      <c r="O105" s="9">
        <f>$B105*'Kroger Payments'!M$19</f>
        <v>1108.6753530458568</v>
      </c>
      <c r="P105" s="7">
        <f t="shared" si="3"/>
        <v>11807.392508957661</v>
      </c>
    </row>
    <row r="106" spans="1:16" x14ac:dyDescent="0.35">
      <c r="A106" s="3" t="s">
        <v>14</v>
      </c>
      <c r="B106" s="16">
        <v>6.2871075E-5</v>
      </c>
      <c r="C106" s="8" t="s">
        <v>137</v>
      </c>
      <c r="D106" s="8" t="str">
        <f t="shared" si="4"/>
        <v>No</v>
      </c>
      <c r="E106" s="9">
        <f>$B106*'Kroger Payments'!C$19</f>
        <v>113.79118232802239</v>
      </c>
      <c r="F106" s="9">
        <f>$B106*'Kroger Payments'!D$19</f>
        <v>113.79118232802239</v>
      </c>
      <c r="G106" s="9">
        <f>$B106*'Kroger Payments'!E$19</f>
        <v>113.79118232802239</v>
      </c>
      <c r="H106" s="9">
        <f>$B106*'Kroger Payments'!F$19</f>
        <v>113.79118232802239</v>
      </c>
      <c r="I106" s="9">
        <f>$B106*'Kroger Payments'!G$19</f>
        <v>113.79118232802239</v>
      </c>
      <c r="J106" s="9">
        <f>$B106*'Kroger Payments'!H$19</f>
        <v>113.79118232802239</v>
      </c>
      <c r="K106" s="9">
        <f>$B106*'Kroger Payments'!I$19</f>
        <v>113.79118232802239</v>
      </c>
      <c r="L106" s="9">
        <f>$B106*'Kroger Payments'!J$19</f>
        <v>119.78019192423409</v>
      </c>
      <c r="M106" s="9">
        <f>$B106*'Kroger Payments'!K$19</f>
        <v>119.78019192423409</v>
      </c>
      <c r="N106" s="9">
        <f>$B106*'Kroger Payments'!L$19</f>
        <v>119.78019192423409</v>
      </c>
      <c r="O106" s="9">
        <f>$B106*'Kroger Payments'!M$19</f>
        <v>119.78019193521394</v>
      </c>
      <c r="P106" s="7">
        <f t="shared" si="3"/>
        <v>1275.6590440040727</v>
      </c>
    </row>
    <row r="107" spans="1:16" x14ac:dyDescent="0.35">
      <c r="A107" s="3" t="s">
        <v>14</v>
      </c>
      <c r="B107" s="16">
        <v>1.2000276882E-2</v>
      </c>
      <c r="C107" s="8" t="s">
        <v>138</v>
      </c>
      <c r="D107" s="8" t="str">
        <f t="shared" si="4"/>
        <v>No</v>
      </c>
      <c r="E107" s="9">
        <f>$B107*'Kroger Payments'!C$19</f>
        <v>21719.458346567382</v>
      </c>
      <c r="F107" s="9">
        <f>$B107*'Kroger Payments'!D$19</f>
        <v>21719.458346567382</v>
      </c>
      <c r="G107" s="9">
        <f>$B107*'Kroger Payments'!E$19</f>
        <v>21719.458346567382</v>
      </c>
      <c r="H107" s="9">
        <f>$B107*'Kroger Payments'!F$19</f>
        <v>21719.458346567382</v>
      </c>
      <c r="I107" s="9">
        <f>$B107*'Kroger Payments'!G$19</f>
        <v>21719.458346567382</v>
      </c>
      <c r="J107" s="9">
        <f>$B107*'Kroger Payments'!H$19</f>
        <v>21719.458346567382</v>
      </c>
      <c r="K107" s="9">
        <f>$B107*'Kroger Payments'!I$19</f>
        <v>21719.458346567382</v>
      </c>
      <c r="L107" s="9">
        <f>$B107*'Kroger Payments'!J$19</f>
        <v>22862.587733228826</v>
      </c>
      <c r="M107" s="9">
        <f>$B107*'Kroger Payments'!K$19</f>
        <v>22862.587733228826</v>
      </c>
      <c r="N107" s="9">
        <f>$B107*'Kroger Payments'!L$19</f>
        <v>22862.587733228826</v>
      </c>
      <c r="O107" s="9">
        <f>$B107*'Kroger Payments'!M$19</f>
        <v>22862.58773532456</v>
      </c>
      <c r="P107" s="7">
        <f t="shared" si="3"/>
        <v>243486.55936098273</v>
      </c>
    </row>
    <row r="108" spans="1:16" x14ac:dyDescent="0.35">
      <c r="A108" s="3" t="s">
        <v>99</v>
      </c>
      <c r="B108" s="16">
        <v>8.2444660539999996E-3</v>
      </c>
      <c r="C108" s="8" t="s">
        <v>99</v>
      </c>
      <c r="D108" s="8" t="str">
        <f t="shared" si="4"/>
        <v>No</v>
      </c>
      <c r="E108" s="9">
        <f>$B108*'Kroger Payments'!C$19</f>
        <v>14921.767123401423</v>
      </c>
      <c r="F108" s="9">
        <f>$B108*'Kroger Payments'!D$19</f>
        <v>14921.767123401423</v>
      </c>
      <c r="G108" s="9">
        <f>$B108*'Kroger Payments'!E$19</f>
        <v>14921.767123401423</v>
      </c>
      <c r="H108" s="9">
        <f>$B108*'Kroger Payments'!F$19</f>
        <v>14921.767123401423</v>
      </c>
      <c r="I108" s="9">
        <f>$B108*'Kroger Payments'!G$19</f>
        <v>14921.767123401423</v>
      </c>
      <c r="J108" s="9">
        <f>$B108*'Kroger Payments'!H$19</f>
        <v>14921.767123401423</v>
      </c>
      <c r="K108" s="9">
        <f>$B108*'Kroger Payments'!I$19</f>
        <v>14921.767123401423</v>
      </c>
      <c r="L108" s="9">
        <f>$B108*'Kroger Payments'!J$19</f>
        <v>15707.123287790973</v>
      </c>
      <c r="M108" s="9">
        <f>$B108*'Kroger Payments'!K$19</f>
        <v>15707.123287790973</v>
      </c>
      <c r="N108" s="9">
        <f>$B108*'Kroger Payments'!L$19</f>
        <v>15707.123287790973</v>
      </c>
      <c r="O108" s="9">
        <f>$B108*'Kroger Payments'!M$19</f>
        <v>15707.123289230793</v>
      </c>
      <c r="P108" s="7">
        <f t="shared" si="3"/>
        <v>167280.8630164137</v>
      </c>
    </row>
    <row r="109" spans="1:16" x14ac:dyDescent="0.35">
      <c r="A109" s="3" t="s">
        <v>14</v>
      </c>
      <c r="B109" s="16">
        <v>4.6526336699999999E-4</v>
      </c>
      <c r="C109" s="8" t="s">
        <v>139</v>
      </c>
      <c r="D109" s="8" t="str">
        <f t="shared" si="4"/>
        <v>No</v>
      </c>
      <c r="E109" s="9">
        <f>$B109*'Kroger Payments'!C$19</f>
        <v>842.08626343428341</v>
      </c>
      <c r="F109" s="9">
        <f>$B109*'Kroger Payments'!D$19</f>
        <v>842.08626343428341</v>
      </c>
      <c r="G109" s="9">
        <f>$B109*'Kroger Payments'!E$19</f>
        <v>842.08626343428341</v>
      </c>
      <c r="H109" s="9">
        <f>$B109*'Kroger Payments'!F$19</f>
        <v>842.08626343428341</v>
      </c>
      <c r="I109" s="9">
        <f>$B109*'Kroger Payments'!G$19</f>
        <v>842.08626343428341</v>
      </c>
      <c r="J109" s="9">
        <f>$B109*'Kroger Payments'!H$19</f>
        <v>842.08626343428341</v>
      </c>
      <c r="K109" s="9">
        <f>$B109*'Kroger Payments'!I$19</f>
        <v>842.08626343428341</v>
      </c>
      <c r="L109" s="9">
        <f>$B109*'Kroger Payments'!J$19</f>
        <v>886.40659308871943</v>
      </c>
      <c r="M109" s="9">
        <f>$B109*'Kroger Payments'!K$19</f>
        <v>886.40659308871943</v>
      </c>
      <c r="N109" s="9">
        <f>$B109*'Kroger Payments'!L$19</f>
        <v>886.40659308871943</v>
      </c>
      <c r="O109" s="9">
        <f>$B109*'Kroger Payments'!M$19</f>
        <v>886.40659316997335</v>
      </c>
      <c r="P109" s="7">
        <f t="shared" si="3"/>
        <v>9440.2302164761131</v>
      </c>
    </row>
    <row r="110" spans="1:16" x14ac:dyDescent="0.35">
      <c r="A110" s="3" t="s">
        <v>140</v>
      </c>
      <c r="B110" s="16">
        <v>3.147475181E-3</v>
      </c>
      <c r="C110" s="8" t="s">
        <v>140</v>
      </c>
      <c r="D110" s="8" t="str">
        <f t="shared" si="4"/>
        <v>No</v>
      </c>
      <c r="E110" s="9">
        <f>$B110*'Kroger Payments'!C$19</f>
        <v>5696.6565657434085</v>
      </c>
      <c r="F110" s="9">
        <f>$B110*'Kroger Payments'!D$19</f>
        <v>5696.6565657434085</v>
      </c>
      <c r="G110" s="9">
        <f>$B110*'Kroger Payments'!E$19</f>
        <v>5696.6565657434085</v>
      </c>
      <c r="H110" s="9">
        <f>$B110*'Kroger Payments'!F$19</f>
        <v>5696.6565657434085</v>
      </c>
      <c r="I110" s="9">
        <f>$B110*'Kroger Payments'!G$19</f>
        <v>5696.6565657434085</v>
      </c>
      <c r="J110" s="9">
        <f>$B110*'Kroger Payments'!H$19</f>
        <v>5696.6565657434085</v>
      </c>
      <c r="K110" s="9">
        <f>$B110*'Kroger Payments'!I$19</f>
        <v>5696.6565657434085</v>
      </c>
      <c r="L110" s="9">
        <f>$B110*'Kroger Payments'!J$19</f>
        <v>5996.4805955193769</v>
      </c>
      <c r="M110" s="9">
        <f>$B110*'Kroger Payments'!K$19</f>
        <v>5996.4805955193769</v>
      </c>
      <c r="N110" s="9">
        <f>$B110*'Kroger Payments'!L$19</f>
        <v>5996.4805955193769</v>
      </c>
      <c r="O110" s="9">
        <f>$B110*'Kroger Payments'!M$19</f>
        <v>5996.4805960690546</v>
      </c>
      <c r="P110" s="7">
        <f t="shared" si="3"/>
        <v>63862.518342831041</v>
      </c>
    </row>
    <row r="111" spans="1:16" x14ac:dyDescent="0.35">
      <c r="A111" s="3" t="s">
        <v>60</v>
      </c>
      <c r="B111" s="16">
        <v>5.3836174599999995E-4</v>
      </c>
      <c r="C111" s="8" t="s">
        <v>141</v>
      </c>
      <c r="D111" s="8" t="str">
        <f t="shared" si="4"/>
        <v>No</v>
      </c>
      <c r="E111" s="9">
        <f>$B111*'Kroger Payments'!C$19</f>
        <v>974.3879772616973</v>
      </c>
      <c r="F111" s="9">
        <f>$B111*'Kroger Payments'!D$19</f>
        <v>974.3879772616973</v>
      </c>
      <c r="G111" s="9">
        <f>$B111*'Kroger Payments'!E$19</f>
        <v>974.3879772616973</v>
      </c>
      <c r="H111" s="9">
        <f>$B111*'Kroger Payments'!F$19</f>
        <v>974.3879772616973</v>
      </c>
      <c r="I111" s="9">
        <f>$B111*'Kroger Payments'!G$19</f>
        <v>974.3879772616973</v>
      </c>
      <c r="J111" s="9">
        <f>$B111*'Kroger Payments'!H$19</f>
        <v>974.3879772616973</v>
      </c>
      <c r="K111" s="9">
        <f>$B111*'Kroger Payments'!I$19</f>
        <v>974.3879772616973</v>
      </c>
      <c r="L111" s="9">
        <f>$B111*'Kroger Payments'!J$19</f>
        <v>1025.6715550123131</v>
      </c>
      <c r="M111" s="9">
        <f>$B111*'Kroger Payments'!K$19</f>
        <v>1025.6715550123131</v>
      </c>
      <c r="N111" s="9">
        <f>$B111*'Kroger Payments'!L$19</f>
        <v>1025.6715550123131</v>
      </c>
      <c r="O111" s="9">
        <f>$B111*'Kroger Payments'!M$19</f>
        <v>1025.6715551063328</v>
      </c>
      <c r="P111" s="7">
        <f t="shared" si="3"/>
        <v>10923.402060975155</v>
      </c>
    </row>
    <row r="112" spans="1:16" x14ac:dyDescent="0.35">
      <c r="A112" s="3" t="s">
        <v>22</v>
      </c>
      <c r="B112" s="16">
        <v>3.5850510700000002E-4</v>
      </c>
      <c r="C112" s="8" t="s">
        <v>142</v>
      </c>
      <c r="D112" s="8" t="str">
        <f t="shared" si="4"/>
        <v>No</v>
      </c>
      <c r="E112" s="9">
        <f>$B112*'Kroger Payments'!C$19</f>
        <v>648.86309000067479</v>
      </c>
      <c r="F112" s="9">
        <f>$B112*'Kroger Payments'!D$19</f>
        <v>648.86309000067479</v>
      </c>
      <c r="G112" s="9">
        <f>$B112*'Kroger Payments'!E$19</f>
        <v>648.86309000067479</v>
      </c>
      <c r="H112" s="9">
        <f>$B112*'Kroger Payments'!F$19</f>
        <v>648.86309000067479</v>
      </c>
      <c r="I112" s="9">
        <f>$B112*'Kroger Payments'!G$19</f>
        <v>648.86309000067479</v>
      </c>
      <c r="J112" s="9">
        <f>$B112*'Kroger Payments'!H$19</f>
        <v>648.86309000067479</v>
      </c>
      <c r="K112" s="9">
        <f>$B112*'Kroger Payments'!I$19</f>
        <v>648.86309000067479</v>
      </c>
      <c r="L112" s="9">
        <f>$B112*'Kroger Payments'!J$19</f>
        <v>683.01377894807877</v>
      </c>
      <c r="M112" s="9">
        <f>$B112*'Kroger Payments'!K$19</f>
        <v>683.01377894807877</v>
      </c>
      <c r="N112" s="9">
        <f>$B112*'Kroger Payments'!L$19</f>
        <v>683.01377894807877</v>
      </c>
      <c r="O112" s="9">
        <f>$B112*'Kroger Payments'!M$19</f>
        <v>683.01377901068838</v>
      </c>
      <c r="P112" s="7">
        <f t="shared" si="3"/>
        <v>7274.0967458596479</v>
      </c>
    </row>
    <row r="113" spans="1:16" x14ac:dyDescent="0.35">
      <c r="A113" s="3" t="s">
        <v>22</v>
      </c>
      <c r="B113" s="16">
        <v>4.73791255E-4</v>
      </c>
      <c r="C113" s="8" t="s">
        <v>143</v>
      </c>
      <c r="D113" s="8" t="str">
        <f t="shared" si="4"/>
        <v>No</v>
      </c>
      <c r="E113" s="9">
        <f>$B113*'Kroger Payments'!C$19</f>
        <v>857.52099965091338</v>
      </c>
      <c r="F113" s="9">
        <f>$B113*'Kroger Payments'!D$19</f>
        <v>857.52099965091338</v>
      </c>
      <c r="G113" s="9">
        <f>$B113*'Kroger Payments'!E$19</f>
        <v>857.52099965091338</v>
      </c>
      <c r="H113" s="9">
        <f>$B113*'Kroger Payments'!F$19</f>
        <v>857.52099965091338</v>
      </c>
      <c r="I113" s="9">
        <f>$B113*'Kroger Payments'!G$19</f>
        <v>857.52099965091338</v>
      </c>
      <c r="J113" s="9">
        <f>$B113*'Kroger Payments'!H$19</f>
        <v>857.52099965091338</v>
      </c>
      <c r="K113" s="9">
        <f>$B113*'Kroger Payments'!I$19</f>
        <v>857.52099965091338</v>
      </c>
      <c r="L113" s="9">
        <f>$B113*'Kroger Payments'!J$19</f>
        <v>902.65368384306669</v>
      </c>
      <c r="M113" s="9">
        <f>$B113*'Kroger Payments'!K$19</f>
        <v>902.65368384306669</v>
      </c>
      <c r="N113" s="9">
        <f>$B113*'Kroger Payments'!L$19</f>
        <v>902.65368384306669</v>
      </c>
      <c r="O113" s="9">
        <f>$B113*'Kroger Payments'!M$19</f>
        <v>902.6536839258099</v>
      </c>
      <c r="P113" s="7">
        <f t="shared" si="3"/>
        <v>9613.2617330114026</v>
      </c>
    </row>
    <row r="114" spans="1:16" x14ac:dyDescent="0.35">
      <c r="A114" s="3" t="s">
        <v>22</v>
      </c>
      <c r="B114" s="16">
        <v>3.3763028899999999E-4</v>
      </c>
      <c r="C114" s="8" t="s">
        <v>144</v>
      </c>
      <c r="D114" s="8" t="str">
        <f t="shared" si="4"/>
        <v>No</v>
      </c>
      <c r="E114" s="9">
        <f>$B114*'Kroger Payments'!C$19</f>
        <v>611.08148341764297</v>
      </c>
      <c r="F114" s="9">
        <f>$B114*'Kroger Payments'!D$19</f>
        <v>611.08148341764297</v>
      </c>
      <c r="G114" s="9">
        <f>$B114*'Kroger Payments'!E$19</f>
        <v>611.08148341764297</v>
      </c>
      <c r="H114" s="9">
        <f>$B114*'Kroger Payments'!F$19</f>
        <v>611.08148341764297</v>
      </c>
      <c r="I114" s="9">
        <f>$B114*'Kroger Payments'!G$19</f>
        <v>611.08148341764297</v>
      </c>
      <c r="J114" s="9">
        <f>$B114*'Kroger Payments'!H$19</f>
        <v>611.08148341764297</v>
      </c>
      <c r="K114" s="9">
        <f>$B114*'Kroger Payments'!I$19</f>
        <v>611.08148341764297</v>
      </c>
      <c r="L114" s="9">
        <f>$B114*'Kroger Payments'!J$19</f>
        <v>643.24366675541364</v>
      </c>
      <c r="M114" s="9">
        <f>$B114*'Kroger Payments'!K$19</f>
        <v>643.24366675541364</v>
      </c>
      <c r="N114" s="9">
        <f>$B114*'Kroger Payments'!L$19</f>
        <v>643.24366675541364</v>
      </c>
      <c r="O114" s="9">
        <f>$B114*'Kroger Payments'!M$19</f>
        <v>643.24366681437766</v>
      </c>
      <c r="P114" s="7">
        <f t="shared" si="3"/>
        <v>6850.5450510041201</v>
      </c>
    </row>
    <row r="115" spans="1:16" x14ac:dyDescent="0.35">
      <c r="A115" s="3" t="s">
        <v>60</v>
      </c>
      <c r="B115" s="16">
        <v>5.6782882599999999E-4</v>
      </c>
      <c r="C115" s="8" t="s">
        <v>145</v>
      </c>
      <c r="D115" s="8" t="str">
        <f t="shared" si="4"/>
        <v>No</v>
      </c>
      <c r="E115" s="9">
        <f>$B115*'Kroger Payments'!C$19</f>
        <v>1027.7208314073348</v>
      </c>
      <c r="F115" s="9">
        <f>$B115*'Kroger Payments'!D$19</f>
        <v>1027.7208314073348</v>
      </c>
      <c r="G115" s="9">
        <f>$B115*'Kroger Payments'!E$19</f>
        <v>1027.7208314073348</v>
      </c>
      <c r="H115" s="9">
        <f>$B115*'Kroger Payments'!F$19</f>
        <v>1027.7208314073348</v>
      </c>
      <c r="I115" s="9">
        <f>$B115*'Kroger Payments'!G$19</f>
        <v>1027.7208314073348</v>
      </c>
      <c r="J115" s="9">
        <f>$B115*'Kroger Payments'!H$19</f>
        <v>1027.7208314073348</v>
      </c>
      <c r="K115" s="9">
        <f>$B115*'Kroger Payments'!I$19</f>
        <v>1027.7208314073348</v>
      </c>
      <c r="L115" s="9">
        <f>$B115*'Kroger Payments'!J$19</f>
        <v>1081.811401481405</v>
      </c>
      <c r="M115" s="9">
        <f>$B115*'Kroger Payments'!K$19</f>
        <v>1081.811401481405</v>
      </c>
      <c r="N115" s="9">
        <f>$B115*'Kroger Payments'!L$19</f>
        <v>1081.811401481405</v>
      </c>
      <c r="O115" s="9">
        <f>$B115*'Kroger Payments'!M$19</f>
        <v>1081.8114015805711</v>
      </c>
      <c r="P115" s="7">
        <f t="shared" si="3"/>
        <v>11521.291425876132</v>
      </c>
    </row>
    <row r="116" spans="1:16" x14ac:dyDescent="0.35">
      <c r="A116" s="3" t="s">
        <v>22</v>
      </c>
      <c r="B116" s="16">
        <v>1.81132068E-3</v>
      </c>
      <c r="C116" s="8" t="s">
        <v>146</v>
      </c>
      <c r="D116" s="8" t="str">
        <f t="shared" si="4"/>
        <v>No</v>
      </c>
      <c r="E116" s="9">
        <f>$B116*'Kroger Payments'!C$19</f>
        <v>3278.3330291775269</v>
      </c>
      <c r="F116" s="9">
        <f>$B116*'Kroger Payments'!D$19</f>
        <v>3278.3330291775269</v>
      </c>
      <c r="G116" s="9">
        <f>$B116*'Kroger Payments'!E$19</f>
        <v>3278.3330291775269</v>
      </c>
      <c r="H116" s="9">
        <f>$B116*'Kroger Payments'!F$19</f>
        <v>3278.3330291775269</v>
      </c>
      <c r="I116" s="9">
        <f>$B116*'Kroger Payments'!G$19</f>
        <v>3278.3330291775269</v>
      </c>
      <c r="J116" s="9">
        <f>$B116*'Kroger Payments'!H$19</f>
        <v>3278.3330291775269</v>
      </c>
      <c r="K116" s="9">
        <f>$B116*'Kroger Payments'!I$19</f>
        <v>3278.3330291775269</v>
      </c>
      <c r="L116" s="9">
        <f>$B116*'Kroger Payments'!J$19</f>
        <v>3450.8768728184496</v>
      </c>
      <c r="M116" s="9">
        <f>$B116*'Kroger Payments'!K$19</f>
        <v>3450.8768728184496</v>
      </c>
      <c r="N116" s="9">
        <f>$B116*'Kroger Payments'!L$19</f>
        <v>3450.8768728184496</v>
      </c>
      <c r="O116" s="9">
        <f>$B116*'Kroger Payments'!M$19</f>
        <v>3450.87687313478</v>
      </c>
      <c r="P116" s="7">
        <f t="shared" si="3"/>
        <v>36751.838695832819</v>
      </c>
    </row>
    <row r="117" spans="1:16" x14ac:dyDescent="0.35">
      <c r="A117" s="3" t="s">
        <v>22</v>
      </c>
      <c r="B117" s="16">
        <v>5.0557955599999998E-4</v>
      </c>
      <c r="C117" s="8" t="s">
        <v>147</v>
      </c>
      <c r="D117" s="8" t="str">
        <f t="shared" si="4"/>
        <v>No</v>
      </c>
      <c r="E117" s="9">
        <f>$B117*'Kroger Payments'!C$19</f>
        <v>915.05506209519399</v>
      </c>
      <c r="F117" s="9">
        <f>$B117*'Kroger Payments'!D$19</f>
        <v>915.05506209519399</v>
      </c>
      <c r="G117" s="9">
        <f>$B117*'Kroger Payments'!E$19</f>
        <v>915.05506209519399</v>
      </c>
      <c r="H117" s="9">
        <f>$B117*'Kroger Payments'!F$19</f>
        <v>915.05506209519399</v>
      </c>
      <c r="I117" s="9">
        <f>$B117*'Kroger Payments'!G$19</f>
        <v>915.05506209519399</v>
      </c>
      <c r="J117" s="9">
        <f>$B117*'Kroger Payments'!H$19</f>
        <v>915.05506209519399</v>
      </c>
      <c r="K117" s="9">
        <f>$B117*'Kroger Payments'!I$19</f>
        <v>915.05506209519399</v>
      </c>
      <c r="L117" s="9">
        <f>$B117*'Kroger Payments'!J$19</f>
        <v>963.21585483704632</v>
      </c>
      <c r="M117" s="9">
        <f>$B117*'Kroger Payments'!K$19</f>
        <v>963.21585483704632</v>
      </c>
      <c r="N117" s="9">
        <f>$B117*'Kroger Payments'!L$19</f>
        <v>963.21585483704632</v>
      </c>
      <c r="O117" s="9">
        <f>$B117*'Kroger Payments'!M$19</f>
        <v>963.21585492534109</v>
      </c>
      <c r="P117" s="7">
        <f t="shared" si="3"/>
        <v>10258.24885410284</v>
      </c>
    </row>
    <row r="118" spans="1:16" x14ac:dyDescent="0.35">
      <c r="A118" s="3" t="s">
        <v>75</v>
      </c>
      <c r="B118" s="16">
        <v>1.108972638E-3</v>
      </c>
      <c r="C118" s="8" t="s">
        <v>148</v>
      </c>
      <c r="D118" s="8" t="str">
        <f t="shared" si="4"/>
        <v>No</v>
      </c>
      <c r="E118" s="9">
        <f>$B118*'Kroger Payments'!C$19</f>
        <v>2007.1441063707907</v>
      </c>
      <c r="F118" s="9">
        <f>$B118*'Kroger Payments'!D$19</f>
        <v>2007.1441063707907</v>
      </c>
      <c r="G118" s="9">
        <f>$B118*'Kroger Payments'!E$19</f>
        <v>2007.1441063707907</v>
      </c>
      <c r="H118" s="9">
        <f>$B118*'Kroger Payments'!F$19</f>
        <v>2007.1441063707907</v>
      </c>
      <c r="I118" s="9">
        <f>$B118*'Kroger Payments'!G$19</f>
        <v>2007.1441063707907</v>
      </c>
      <c r="J118" s="9">
        <f>$B118*'Kroger Payments'!H$19</f>
        <v>2007.1441063707907</v>
      </c>
      <c r="K118" s="9">
        <f>$B118*'Kroger Payments'!I$19</f>
        <v>2007.1441063707907</v>
      </c>
      <c r="L118" s="9">
        <f>$B118*'Kroger Payments'!J$19</f>
        <v>2112.7832698639904</v>
      </c>
      <c r="M118" s="9">
        <f>$B118*'Kroger Payments'!K$19</f>
        <v>2112.7832698639904</v>
      </c>
      <c r="N118" s="9">
        <f>$B118*'Kroger Payments'!L$19</f>
        <v>2112.7832698639904</v>
      </c>
      <c r="O118" s="9">
        <f>$B118*'Kroger Payments'!M$19</f>
        <v>2112.7832700576619</v>
      </c>
      <c r="P118" s="7">
        <f t="shared" si="3"/>
        <v>22501.141824245165</v>
      </c>
    </row>
    <row r="119" spans="1:16" x14ac:dyDescent="0.35">
      <c r="A119" s="3" t="s">
        <v>60</v>
      </c>
      <c r="B119" s="16">
        <v>4.8810499999999996E-6</v>
      </c>
      <c r="C119" s="8" t="s">
        <v>149</v>
      </c>
      <c r="D119" s="8" t="str">
        <f t="shared" si="4"/>
        <v>Yes</v>
      </c>
      <c r="E119" s="9">
        <f>$B119*'Kroger Payments'!C$19</f>
        <v>8.8342763425342028</v>
      </c>
      <c r="F119" s="9">
        <f>$B119*'Kroger Payments'!D$19</f>
        <v>8.8342763425342028</v>
      </c>
      <c r="G119" s="9">
        <f>$B119*'Kroger Payments'!E$19</f>
        <v>8.8342763425342028</v>
      </c>
      <c r="H119" s="9">
        <f>$B119*'Kroger Payments'!F$19</f>
        <v>8.8342763425342028</v>
      </c>
      <c r="I119" s="9">
        <f>$B119*'Kroger Payments'!G$19</f>
        <v>8.8342763425342028</v>
      </c>
      <c r="J119" s="9">
        <f>$B119*'Kroger Payments'!H$19</f>
        <v>8.8342763425342028</v>
      </c>
      <c r="K119" s="9">
        <f>$B119*'Kroger Payments'!I$19</f>
        <v>8.8342763425342028</v>
      </c>
      <c r="L119" s="9">
        <f>$B119*'Kroger Payments'!J$19</f>
        <v>9.2992382552991621</v>
      </c>
      <c r="M119" s="9">
        <f>$B119*'Kroger Payments'!K$19</f>
        <v>9.2992382552991621</v>
      </c>
      <c r="N119" s="9">
        <f>$B119*'Kroger Payments'!L$19</f>
        <v>9.2992382552991621</v>
      </c>
      <c r="O119" s="9">
        <f>$B119*'Kroger Payments'!M$19</f>
        <v>9.2992382561515914</v>
      </c>
      <c r="P119" s="7">
        <f t="shared" si="3"/>
        <v>99.036887419788499</v>
      </c>
    </row>
    <row r="120" spans="1:16" x14ac:dyDescent="0.35">
      <c r="A120" s="3" t="s">
        <v>34</v>
      </c>
      <c r="B120" s="16">
        <v>7.3633926399999995E-4</v>
      </c>
      <c r="C120" s="8" t="s">
        <v>150</v>
      </c>
      <c r="D120" s="8" t="str">
        <f t="shared" si="4"/>
        <v>No</v>
      </c>
      <c r="E120" s="9">
        <f>$B120*'Kroger Payments'!C$19</f>
        <v>1332.7100808297903</v>
      </c>
      <c r="F120" s="9">
        <f>$B120*'Kroger Payments'!D$19</f>
        <v>1332.7100808297903</v>
      </c>
      <c r="G120" s="9">
        <f>$B120*'Kroger Payments'!E$19</f>
        <v>1332.7100808297903</v>
      </c>
      <c r="H120" s="9">
        <f>$B120*'Kroger Payments'!F$19</f>
        <v>1332.7100808297903</v>
      </c>
      <c r="I120" s="9">
        <f>$B120*'Kroger Payments'!G$19</f>
        <v>1332.7100808297903</v>
      </c>
      <c r="J120" s="9">
        <f>$B120*'Kroger Payments'!H$19</f>
        <v>1332.7100808297903</v>
      </c>
      <c r="K120" s="9">
        <f>$B120*'Kroger Payments'!I$19</f>
        <v>1332.7100808297903</v>
      </c>
      <c r="L120" s="9">
        <f>$B120*'Kroger Payments'!J$19</f>
        <v>1402.8527166629372</v>
      </c>
      <c r="M120" s="9">
        <f>$B120*'Kroger Payments'!K$19</f>
        <v>1402.8527166629372</v>
      </c>
      <c r="N120" s="9">
        <f>$B120*'Kroger Payments'!L$19</f>
        <v>1402.8527166629372</v>
      </c>
      <c r="O120" s="9">
        <f>$B120*'Kroger Payments'!M$19</f>
        <v>1402.852716791532</v>
      </c>
      <c r="P120" s="7">
        <f t="shared" si="3"/>
        <v>14940.381432588876</v>
      </c>
    </row>
    <row r="121" spans="1:16" x14ac:dyDescent="0.35">
      <c r="A121" s="3" t="s">
        <v>34</v>
      </c>
      <c r="B121" s="16">
        <v>2.9438730599999998E-4</v>
      </c>
      <c r="C121" s="8" t="s">
        <v>151</v>
      </c>
      <c r="D121" s="8" t="str">
        <f t="shared" si="4"/>
        <v>No</v>
      </c>
      <c r="E121" s="9">
        <f>$B121*'Kroger Payments'!C$19</f>
        <v>532.81544195166566</v>
      </c>
      <c r="F121" s="9">
        <f>$B121*'Kroger Payments'!D$19</f>
        <v>532.81544195166566</v>
      </c>
      <c r="G121" s="9">
        <f>$B121*'Kroger Payments'!E$19</f>
        <v>532.81544195166566</v>
      </c>
      <c r="H121" s="9">
        <f>$B121*'Kroger Payments'!F$19</f>
        <v>532.81544195166566</v>
      </c>
      <c r="I121" s="9">
        <f>$B121*'Kroger Payments'!G$19</f>
        <v>532.81544195166566</v>
      </c>
      <c r="J121" s="9">
        <f>$B121*'Kroger Payments'!H$19</f>
        <v>532.81544195166566</v>
      </c>
      <c r="K121" s="9">
        <f>$B121*'Kroger Payments'!I$19</f>
        <v>532.81544195166566</v>
      </c>
      <c r="L121" s="9">
        <f>$B121*'Kroger Payments'!J$19</f>
        <v>560.85835994912168</v>
      </c>
      <c r="M121" s="9">
        <f>$B121*'Kroger Payments'!K$19</f>
        <v>560.85835994912168</v>
      </c>
      <c r="N121" s="9">
        <f>$B121*'Kroger Payments'!L$19</f>
        <v>560.85835994912168</v>
      </c>
      <c r="O121" s="9">
        <f>$B121*'Kroger Payments'!M$19</f>
        <v>560.85836000053371</v>
      </c>
      <c r="P121" s="7">
        <f t="shared" si="3"/>
        <v>5973.141533509558</v>
      </c>
    </row>
    <row r="122" spans="1:16" x14ac:dyDescent="0.35">
      <c r="A122" s="3" t="s">
        <v>22</v>
      </c>
      <c r="B122" s="16">
        <v>3.9150577899999998E-4</v>
      </c>
      <c r="C122" s="8" t="s">
        <v>152</v>
      </c>
      <c r="D122" s="8" t="str">
        <f t="shared" si="4"/>
        <v>No</v>
      </c>
      <c r="E122" s="9">
        <f>$B122*'Kroger Payments'!C$19</f>
        <v>708.591438601351</v>
      </c>
      <c r="F122" s="9">
        <f>$B122*'Kroger Payments'!D$19</f>
        <v>708.591438601351</v>
      </c>
      <c r="G122" s="9">
        <f>$B122*'Kroger Payments'!E$19</f>
        <v>708.591438601351</v>
      </c>
      <c r="H122" s="9">
        <f>$B122*'Kroger Payments'!F$19</f>
        <v>708.591438601351</v>
      </c>
      <c r="I122" s="9">
        <f>$B122*'Kroger Payments'!G$19</f>
        <v>708.591438601351</v>
      </c>
      <c r="J122" s="9">
        <f>$B122*'Kroger Payments'!H$19</f>
        <v>708.591438601351</v>
      </c>
      <c r="K122" s="9">
        <f>$B122*'Kroger Payments'!I$19</f>
        <v>708.591438601351</v>
      </c>
      <c r="L122" s="9">
        <f>$B122*'Kroger Payments'!J$19</f>
        <v>745.88572484352744</v>
      </c>
      <c r="M122" s="9">
        <f>$B122*'Kroger Payments'!K$19</f>
        <v>745.88572484352744</v>
      </c>
      <c r="N122" s="9">
        <f>$B122*'Kroger Payments'!L$19</f>
        <v>745.88572484352744</v>
      </c>
      <c r="O122" s="9">
        <f>$B122*'Kroger Payments'!M$19</f>
        <v>745.88572491190018</v>
      </c>
      <c r="P122" s="7">
        <f t="shared" si="3"/>
        <v>7943.6829696519389</v>
      </c>
    </row>
    <row r="123" spans="1:16" x14ac:dyDescent="0.35">
      <c r="A123" s="3" t="s">
        <v>153</v>
      </c>
      <c r="B123" s="16">
        <v>3.73185567E-3</v>
      </c>
      <c r="C123" s="8" t="s">
        <v>153</v>
      </c>
      <c r="D123" s="8" t="str">
        <f t="shared" si="4"/>
        <v>No</v>
      </c>
      <c r="E123" s="9">
        <f>$B123*'Kroger Payments'!C$19</f>
        <v>6754.3344688608258</v>
      </c>
      <c r="F123" s="9">
        <f>$B123*'Kroger Payments'!D$19</f>
        <v>6754.3344688608258</v>
      </c>
      <c r="G123" s="9">
        <f>$B123*'Kroger Payments'!E$19</f>
        <v>6754.3344688608258</v>
      </c>
      <c r="H123" s="9">
        <f>$B123*'Kroger Payments'!F$19</f>
        <v>6754.3344688608258</v>
      </c>
      <c r="I123" s="9">
        <f>$B123*'Kroger Payments'!G$19</f>
        <v>6754.3344688608258</v>
      </c>
      <c r="J123" s="9">
        <f>$B123*'Kroger Payments'!H$19</f>
        <v>6754.3344688608258</v>
      </c>
      <c r="K123" s="9">
        <f>$B123*'Kroger Payments'!I$19</f>
        <v>6754.3344688608258</v>
      </c>
      <c r="L123" s="9">
        <f>$B123*'Kroger Payments'!J$19</f>
        <v>7109.8257566956063</v>
      </c>
      <c r="M123" s="9">
        <f>$B123*'Kroger Payments'!K$19</f>
        <v>7109.8257566956063</v>
      </c>
      <c r="N123" s="9">
        <f>$B123*'Kroger Payments'!L$19</f>
        <v>7109.8257566956063</v>
      </c>
      <c r="O123" s="9">
        <f>$B123*'Kroger Payments'!M$19</f>
        <v>7109.8257573473402</v>
      </c>
      <c r="P123" s="7">
        <f t="shared" si="3"/>
        <v>75719.644309459938</v>
      </c>
    </row>
    <row r="124" spans="1:16" x14ac:dyDescent="0.35">
      <c r="A124" s="3" t="s">
        <v>24</v>
      </c>
      <c r="B124" s="16">
        <v>2.9173912599999999E-4</v>
      </c>
      <c r="C124" s="8" t="s">
        <v>154</v>
      </c>
      <c r="D124" s="8" t="str">
        <f t="shared" si="4"/>
        <v>No</v>
      </c>
      <c r="E124" s="9">
        <f>$B124*'Kroger Payments'!C$19</f>
        <v>528.02246627537215</v>
      </c>
      <c r="F124" s="9">
        <f>$B124*'Kroger Payments'!D$19</f>
        <v>528.02246627537215</v>
      </c>
      <c r="G124" s="9">
        <f>$B124*'Kroger Payments'!E$19</f>
        <v>528.02246627537215</v>
      </c>
      <c r="H124" s="9">
        <f>$B124*'Kroger Payments'!F$19</f>
        <v>528.02246627537215</v>
      </c>
      <c r="I124" s="9">
        <f>$B124*'Kroger Payments'!G$19</f>
        <v>528.02246627537215</v>
      </c>
      <c r="J124" s="9">
        <f>$B124*'Kroger Payments'!H$19</f>
        <v>528.02246627537215</v>
      </c>
      <c r="K124" s="9">
        <f>$B124*'Kroger Payments'!I$19</f>
        <v>528.02246627537215</v>
      </c>
      <c r="L124" s="9">
        <f>$B124*'Kroger Payments'!J$19</f>
        <v>555.81312239512863</v>
      </c>
      <c r="M124" s="9">
        <f>$B124*'Kroger Payments'!K$19</f>
        <v>555.81312239512863</v>
      </c>
      <c r="N124" s="9">
        <f>$B124*'Kroger Payments'!L$19</f>
        <v>555.81312239512863</v>
      </c>
      <c r="O124" s="9">
        <f>$B124*'Kroger Payments'!M$19</f>
        <v>555.81312244607818</v>
      </c>
      <c r="P124" s="7">
        <f t="shared" si="3"/>
        <v>5919.409753559069</v>
      </c>
    </row>
    <row r="125" spans="1:16" x14ac:dyDescent="0.35">
      <c r="A125" s="3" t="s">
        <v>155</v>
      </c>
      <c r="B125" s="16">
        <v>1.6558901019999999E-3</v>
      </c>
      <c r="C125" s="8" t="s">
        <v>156</v>
      </c>
      <c r="D125" s="8" t="str">
        <f t="shared" si="4"/>
        <v>No</v>
      </c>
      <c r="E125" s="9">
        <f>$B125*'Kroger Payments'!C$19</f>
        <v>2997.0171897307241</v>
      </c>
      <c r="F125" s="9">
        <f>$B125*'Kroger Payments'!D$19</f>
        <v>2997.0171897307241</v>
      </c>
      <c r="G125" s="9">
        <f>$B125*'Kroger Payments'!E$19</f>
        <v>2997.0171897307241</v>
      </c>
      <c r="H125" s="9">
        <f>$B125*'Kroger Payments'!F$19</f>
        <v>2997.0171897307241</v>
      </c>
      <c r="I125" s="9">
        <f>$B125*'Kroger Payments'!G$19</f>
        <v>2997.0171897307241</v>
      </c>
      <c r="J125" s="9">
        <f>$B125*'Kroger Payments'!H$19</f>
        <v>2997.0171897307241</v>
      </c>
      <c r="K125" s="9">
        <f>$B125*'Kroger Payments'!I$19</f>
        <v>2997.0171897307241</v>
      </c>
      <c r="L125" s="9">
        <f>$B125*'Kroger Payments'!J$19</f>
        <v>3154.7549365586569</v>
      </c>
      <c r="M125" s="9">
        <f>$B125*'Kroger Payments'!K$19</f>
        <v>3154.7549365586569</v>
      </c>
      <c r="N125" s="9">
        <f>$B125*'Kroger Payments'!L$19</f>
        <v>3154.7549365586569</v>
      </c>
      <c r="O125" s="9">
        <f>$B125*'Kroger Payments'!M$19</f>
        <v>3154.7549368478426</v>
      </c>
      <c r="P125" s="7">
        <f t="shared" si="3"/>
        <v>33598.140074638875</v>
      </c>
    </row>
    <row r="126" spans="1:16" x14ac:dyDescent="0.35">
      <c r="A126" s="3" t="s">
        <v>34</v>
      </c>
      <c r="B126" s="16">
        <v>4.0995334000000003E-5</v>
      </c>
      <c r="C126" s="8" t="s">
        <v>157</v>
      </c>
      <c r="D126" s="8" t="str">
        <f t="shared" si="4"/>
        <v>No</v>
      </c>
      <c r="E126" s="9">
        <f>$B126*'Kroger Payments'!C$19</f>
        <v>74.197992094014225</v>
      </c>
      <c r="F126" s="9">
        <f>$B126*'Kroger Payments'!D$19</f>
        <v>74.197992094014225</v>
      </c>
      <c r="G126" s="9">
        <f>$B126*'Kroger Payments'!E$19</f>
        <v>74.197992094014225</v>
      </c>
      <c r="H126" s="9">
        <f>$B126*'Kroger Payments'!F$19</f>
        <v>74.197992094014225</v>
      </c>
      <c r="I126" s="9">
        <f>$B126*'Kroger Payments'!G$19</f>
        <v>74.197992094014225</v>
      </c>
      <c r="J126" s="9">
        <f>$B126*'Kroger Payments'!H$19</f>
        <v>74.197992094014225</v>
      </c>
      <c r="K126" s="9">
        <f>$B126*'Kroger Payments'!I$19</f>
        <v>74.197992094014225</v>
      </c>
      <c r="L126" s="9">
        <f>$B126*'Kroger Payments'!J$19</f>
        <v>78.103149572646558</v>
      </c>
      <c r="M126" s="9">
        <f>$B126*'Kroger Payments'!K$19</f>
        <v>78.103149572646558</v>
      </c>
      <c r="N126" s="9">
        <f>$B126*'Kroger Payments'!L$19</f>
        <v>78.103149572646558</v>
      </c>
      <c r="O126" s="9">
        <f>$B126*'Kroger Payments'!M$19</f>
        <v>78.103149579806015</v>
      </c>
      <c r="P126" s="7">
        <f t="shared" si="3"/>
        <v>831.79854295584516</v>
      </c>
    </row>
    <row r="127" spans="1:16" x14ac:dyDescent="0.35">
      <c r="A127" s="3" t="s">
        <v>158</v>
      </c>
      <c r="B127" s="16">
        <v>2.2256429969999998E-3</v>
      </c>
      <c r="C127" s="8" t="s">
        <v>158</v>
      </c>
      <c r="D127" s="8" t="str">
        <f t="shared" si="4"/>
        <v>No</v>
      </c>
      <c r="E127" s="9">
        <f>$B127*'Kroger Payments'!C$19</f>
        <v>4028.2204188287405</v>
      </c>
      <c r="F127" s="9">
        <f>$B127*'Kroger Payments'!D$19</f>
        <v>4028.2204188287405</v>
      </c>
      <c r="G127" s="9">
        <f>$B127*'Kroger Payments'!E$19</f>
        <v>4028.2204188287405</v>
      </c>
      <c r="H127" s="9">
        <f>$B127*'Kroger Payments'!F$19</f>
        <v>4028.2204188287405</v>
      </c>
      <c r="I127" s="9">
        <f>$B127*'Kroger Payments'!G$19</f>
        <v>4028.2204188287405</v>
      </c>
      <c r="J127" s="9">
        <f>$B127*'Kroger Payments'!H$19</f>
        <v>4028.2204188287405</v>
      </c>
      <c r="K127" s="9">
        <f>$B127*'Kroger Payments'!I$19</f>
        <v>4028.2204188287405</v>
      </c>
      <c r="L127" s="9">
        <f>$B127*'Kroger Payments'!J$19</f>
        <v>4240.2320198197267</v>
      </c>
      <c r="M127" s="9">
        <f>$B127*'Kroger Payments'!K$19</f>
        <v>4240.2320198197267</v>
      </c>
      <c r="N127" s="9">
        <f>$B127*'Kroger Payments'!L$19</f>
        <v>4240.2320198197267</v>
      </c>
      <c r="O127" s="9">
        <f>$B127*'Kroger Payments'!M$19</f>
        <v>4240.2320202084147</v>
      </c>
      <c r="P127" s="7">
        <f t="shared" si="3"/>
        <v>45158.471011468777</v>
      </c>
    </row>
    <row r="128" spans="1:16" x14ac:dyDescent="0.35">
      <c r="A128" s="3" t="s">
        <v>22</v>
      </c>
      <c r="B128" s="16">
        <v>3.6136332400000002E-4</v>
      </c>
      <c r="C128" s="8" t="s">
        <v>159</v>
      </c>
      <c r="D128" s="8" t="str">
        <f t="shared" si="4"/>
        <v>No</v>
      </c>
      <c r="E128" s="9">
        <f>$B128*'Kroger Payments'!C$19</f>
        <v>654.03621439500171</v>
      </c>
      <c r="F128" s="9">
        <f>$B128*'Kroger Payments'!D$19</f>
        <v>654.03621439500171</v>
      </c>
      <c r="G128" s="9">
        <f>$B128*'Kroger Payments'!E$19</f>
        <v>654.03621439500171</v>
      </c>
      <c r="H128" s="9">
        <f>$B128*'Kroger Payments'!F$19</f>
        <v>654.03621439500171</v>
      </c>
      <c r="I128" s="9">
        <f>$B128*'Kroger Payments'!G$19</f>
        <v>654.03621439500171</v>
      </c>
      <c r="J128" s="9">
        <f>$B128*'Kroger Payments'!H$19</f>
        <v>654.03621439500171</v>
      </c>
      <c r="K128" s="9">
        <f>$B128*'Kroger Payments'!I$19</f>
        <v>654.03621439500171</v>
      </c>
      <c r="L128" s="9">
        <f>$B128*'Kroger Payments'!J$19</f>
        <v>688.4591730473702</v>
      </c>
      <c r="M128" s="9">
        <f>$B128*'Kroger Payments'!K$19</f>
        <v>688.4591730473702</v>
      </c>
      <c r="N128" s="9">
        <f>$B128*'Kroger Payments'!L$19</f>
        <v>688.4591730473702</v>
      </c>
      <c r="O128" s="9">
        <f>$B128*'Kroger Payments'!M$19</f>
        <v>688.4591731104789</v>
      </c>
      <c r="P128" s="7">
        <f t="shared" si="3"/>
        <v>7332.0901930176015</v>
      </c>
    </row>
    <row r="129" spans="1:16" x14ac:dyDescent="0.35">
      <c r="A129" s="3" t="s">
        <v>160</v>
      </c>
      <c r="B129" s="16">
        <v>2.9297573720000001E-3</v>
      </c>
      <c r="C129" s="8" t="s">
        <v>160</v>
      </c>
      <c r="D129" s="8" t="str">
        <f t="shared" si="4"/>
        <v>No</v>
      </c>
      <c r="E129" s="9">
        <f>$B129*'Kroger Payments'!C$19</f>
        <v>5302.6062508732311</v>
      </c>
      <c r="F129" s="9">
        <f>$B129*'Kroger Payments'!D$19</f>
        <v>5302.6062508732311</v>
      </c>
      <c r="G129" s="9">
        <f>$B129*'Kroger Payments'!E$19</f>
        <v>5302.6062508732311</v>
      </c>
      <c r="H129" s="9">
        <f>$B129*'Kroger Payments'!F$19</f>
        <v>5302.6062508732311</v>
      </c>
      <c r="I129" s="9">
        <f>$B129*'Kroger Payments'!G$19</f>
        <v>5302.6062508732311</v>
      </c>
      <c r="J129" s="9">
        <f>$B129*'Kroger Payments'!H$19</f>
        <v>5302.6062508732311</v>
      </c>
      <c r="K129" s="9">
        <f>$B129*'Kroger Payments'!I$19</f>
        <v>5302.6062508732311</v>
      </c>
      <c r="L129" s="9">
        <f>$B129*'Kroger Payments'!J$19</f>
        <v>5581.690790392875</v>
      </c>
      <c r="M129" s="9">
        <f>$B129*'Kroger Payments'!K$19</f>
        <v>5581.690790392875</v>
      </c>
      <c r="N129" s="9">
        <f>$B129*'Kroger Payments'!L$19</f>
        <v>5581.690790392875</v>
      </c>
      <c r="O129" s="9">
        <f>$B129*'Kroger Payments'!M$19</f>
        <v>5581.6907909045294</v>
      </c>
      <c r="P129" s="7">
        <f t="shared" si="3"/>
        <v>59445.006918195766</v>
      </c>
    </row>
    <row r="130" spans="1:16" x14ac:dyDescent="0.35">
      <c r="A130" s="3" t="s">
        <v>34</v>
      </c>
      <c r="B130" s="16">
        <v>8.2537890299999995E-4</v>
      </c>
      <c r="C130" s="8" t="s">
        <v>161</v>
      </c>
      <c r="D130" s="8" t="str">
        <f t="shared" si="4"/>
        <v>No</v>
      </c>
      <c r="E130" s="9">
        <f>$B130*'Kroger Payments'!C$19</f>
        <v>1493.8640899805848</v>
      </c>
      <c r="F130" s="9">
        <f>$B130*'Kroger Payments'!D$19</f>
        <v>1493.8640899805848</v>
      </c>
      <c r="G130" s="9">
        <f>$B130*'Kroger Payments'!E$19</f>
        <v>1493.8640899805848</v>
      </c>
      <c r="H130" s="9">
        <f>$B130*'Kroger Payments'!F$19</f>
        <v>1493.8640899805848</v>
      </c>
      <c r="I130" s="9">
        <f>$B130*'Kroger Payments'!G$19</f>
        <v>1493.8640899805848</v>
      </c>
      <c r="J130" s="9">
        <f>$B130*'Kroger Payments'!H$19</f>
        <v>1493.8640899805848</v>
      </c>
      <c r="K130" s="9">
        <f>$B130*'Kroger Payments'!I$19</f>
        <v>1493.8640899805848</v>
      </c>
      <c r="L130" s="9">
        <f>$B130*'Kroger Payments'!J$19</f>
        <v>1572.4885157690367</v>
      </c>
      <c r="M130" s="9">
        <f>$B130*'Kroger Payments'!K$19</f>
        <v>1572.4885157690367</v>
      </c>
      <c r="N130" s="9">
        <f>$B130*'Kroger Payments'!L$19</f>
        <v>1572.4885157690367</v>
      </c>
      <c r="O130" s="9">
        <f>$B130*'Kroger Payments'!M$19</f>
        <v>1572.4885159131813</v>
      </c>
      <c r="P130" s="7">
        <f t="shared" si="3"/>
        <v>16747.002693084385</v>
      </c>
    </row>
    <row r="131" spans="1:16" x14ac:dyDescent="0.35">
      <c r="A131" s="3" t="s">
        <v>90</v>
      </c>
      <c r="B131" s="16">
        <v>2.1348935204999999E-2</v>
      </c>
      <c r="C131" s="8" t="s">
        <v>90</v>
      </c>
      <c r="D131" s="8" t="str">
        <f t="shared" si="4"/>
        <v>No</v>
      </c>
      <c r="E131" s="9">
        <f>$B131*'Kroger Payments'!C$19</f>
        <v>38639.717523858002</v>
      </c>
      <c r="F131" s="9">
        <f>$B131*'Kroger Payments'!D$19</f>
        <v>38639.717523858002</v>
      </c>
      <c r="G131" s="9">
        <f>$B131*'Kroger Payments'!E$19</f>
        <v>38639.717523858002</v>
      </c>
      <c r="H131" s="9">
        <f>$B131*'Kroger Payments'!F$19</f>
        <v>38639.717523858002</v>
      </c>
      <c r="I131" s="9">
        <f>$B131*'Kroger Payments'!G$19</f>
        <v>38639.717523858002</v>
      </c>
      <c r="J131" s="9">
        <f>$B131*'Kroger Payments'!H$19</f>
        <v>38639.717523858002</v>
      </c>
      <c r="K131" s="9">
        <f>$B131*'Kroger Payments'!I$19</f>
        <v>38639.717523858002</v>
      </c>
      <c r="L131" s="9">
        <f>$B131*'Kroger Payments'!J$19</f>
        <v>40673.386867218949</v>
      </c>
      <c r="M131" s="9">
        <f>$B131*'Kroger Payments'!K$19</f>
        <v>40673.386867218949</v>
      </c>
      <c r="N131" s="9">
        <f>$B131*'Kroger Payments'!L$19</f>
        <v>40673.386867218949</v>
      </c>
      <c r="O131" s="9">
        <f>$B131*'Kroger Payments'!M$19</f>
        <v>40673.386870947346</v>
      </c>
      <c r="P131" s="7">
        <f t="shared" si="3"/>
        <v>433171.57013961021</v>
      </c>
    </row>
    <row r="132" spans="1:16" x14ac:dyDescent="0.35">
      <c r="A132" s="3" t="s">
        <v>22</v>
      </c>
      <c r="B132" s="16">
        <v>1.669443281E-3</v>
      </c>
      <c r="C132" s="8" t="s">
        <v>162</v>
      </c>
      <c r="D132" s="8" t="str">
        <f t="shared" si="4"/>
        <v>No</v>
      </c>
      <c r="E132" s="9">
        <f>$B132*'Kroger Payments'!C$19</f>
        <v>3021.5472659655161</v>
      </c>
      <c r="F132" s="9">
        <f>$B132*'Kroger Payments'!D$19</f>
        <v>3021.5472659655161</v>
      </c>
      <c r="G132" s="9">
        <f>$B132*'Kroger Payments'!E$19</f>
        <v>3021.5472659655161</v>
      </c>
      <c r="H132" s="9">
        <f>$B132*'Kroger Payments'!F$19</f>
        <v>3021.5472659655161</v>
      </c>
      <c r="I132" s="9">
        <f>$B132*'Kroger Payments'!G$19</f>
        <v>3021.5472659655161</v>
      </c>
      <c r="J132" s="9">
        <f>$B132*'Kroger Payments'!H$19</f>
        <v>3021.5472659655161</v>
      </c>
      <c r="K132" s="9">
        <f>$B132*'Kroger Payments'!I$19</f>
        <v>3021.5472659655161</v>
      </c>
      <c r="L132" s="9">
        <f>$B132*'Kroger Payments'!J$19</f>
        <v>3180.5760694373853</v>
      </c>
      <c r="M132" s="9">
        <f>$B132*'Kroger Payments'!K$19</f>
        <v>3180.5760694373853</v>
      </c>
      <c r="N132" s="9">
        <f>$B132*'Kroger Payments'!L$19</f>
        <v>3180.5760694373853</v>
      </c>
      <c r="O132" s="9">
        <f>$B132*'Kroger Payments'!M$19</f>
        <v>3180.5760697289379</v>
      </c>
      <c r="P132" s="7">
        <f t="shared" ref="P132:P195" si="5">SUM(E132:O132)</f>
        <v>33873.135139799713</v>
      </c>
    </row>
    <row r="133" spans="1:16" x14ac:dyDescent="0.35">
      <c r="A133" s="3" t="s">
        <v>163</v>
      </c>
      <c r="B133" s="16">
        <v>4.4927647099999999E-4</v>
      </c>
      <c r="C133" s="8" t="s">
        <v>164</v>
      </c>
      <c r="D133" s="8" t="str">
        <f t="shared" si="4"/>
        <v>No</v>
      </c>
      <c r="E133" s="9">
        <f>$B133*'Kroger Payments'!C$19</f>
        <v>813.15137091661722</v>
      </c>
      <c r="F133" s="9">
        <f>$B133*'Kroger Payments'!D$19</f>
        <v>813.15137091661722</v>
      </c>
      <c r="G133" s="9">
        <f>$B133*'Kroger Payments'!E$19</f>
        <v>813.15137091661722</v>
      </c>
      <c r="H133" s="9">
        <f>$B133*'Kroger Payments'!F$19</f>
        <v>813.15137091661722</v>
      </c>
      <c r="I133" s="9">
        <f>$B133*'Kroger Payments'!G$19</f>
        <v>813.15137091661722</v>
      </c>
      <c r="J133" s="9">
        <f>$B133*'Kroger Payments'!H$19</f>
        <v>813.15137091661722</v>
      </c>
      <c r="K133" s="9">
        <f>$B133*'Kroger Payments'!I$19</f>
        <v>813.15137091661722</v>
      </c>
      <c r="L133" s="9">
        <f>$B133*'Kroger Payments'!J$19</f>
        <v>855.948811491176</v>
      </c>
      <c r="M133" s="9">
        <f>$B133*'Kroger Payments'!K$19</f>
        <v>855.948811491176</v>
      </c>
      <c r="N133" s="9">
        <f>$B133*'Kroger Payments'!L$19</f>
        <v>855.948811491176</v>
      </c>
      <c r="O133" s="9">
        <f>$B133*'Kroger Payments'!M$19</f>
        <v>855.948811569638</v>
      </c>
      <c r="P133" s="7">
        <f t="shared" si="5"/>
        <v>9115.8548424594883</v>
      </c>
    </row>
    <row r="134" spans="1:16" x14ac:dyDescent="0.35">
      <c r="A134" s="3" t="s">
        <v>163</v>
      </c>
      <c r="B134" s="16">
        <v>4.9056361719999999E-3</v>
      </c>
      <c r="C134" s="8" t="s">
        <v>163</v>
      </c>
      <c r="D134" s="8" t="str">
        <f t="shared" ref="D134:D197" si="6">IF(B134&lt;0.000011, "Yes", "No")</f>
        <v>No</v>
      </c>
      <c r="E134" s="9">
        <f>$B134*'Kroger Payments'!C$19</f>
        <v>8878.7751773449672</v>
      </c>
      <c r="F134" s="9">
        <f>$B134*'Kroger Payments'!D$19</f>
        <v>8878.7751773449672</v>
      </c>
      <c r="G134" s="9">
        <f>$B134*'Kroger Payments'!E$19</f>
        <v>8878.7751773449672</v>
      </c>
      <c r="H134" s="9">
        <f>$B134*'Kroger Payments'!F$19</f>
        <v>8878.7751773449672</v>
      </c>
      <c r="I134" s="9">
        <f>$B134*'Kroger Payments'!G$19</f>
        <v>8878.7751773449672</v>
      </c>
      <c r="J134" s="9">
        <f>$B134*'Kroger Payments'!H$19</f>
        <v>8878.7751773449672</v>
      </c>
      <c r="K134" s="9">
        <f>$B134*'Kroger Payments'!I$19</f>
        <v>8878.7751773449672</v>
      </c>
      <c r="L134" s="9">
        <f>$B134*'Kroger Payments'!J$19</f>
        <v>9346.0791340473352</v>
      </c>
      <c r="M134" s="9">
        <f>$B134*'Kroger Payments'!K$19</f>
        <v>9346.0791340473352</v>
      </c>
      <c r="N134" s="9">
        <f>$B134*'Kroger Payments'!L$19</f>
        <v>9346.0791340473352</v>
      </c>
      <c r="O134" s="9">
        <f>$B134*'Kroger Payments'!M$19</f>
        <v>9346.0791349040574</v>
      </c>
      <c r="P134" s="7">
        <f t="shared" si="5"/>
        <v>99535.742778460844</v>
      </c>
    </row>
    <row r="135" spans="1:16" x14ac:dyDescent="0.35">
      <c r="A135" s="3" t="s">
        <v>165</v>
      </c>
      <c r="B135" s="16">
        <v>3.2124758980000001E-3</v>
      </c>
      <c r="C135" s="8" t="s">
        <v>165</v>
      </c>
      <c r="D135" s="8" t="str">
        <f t="shared" si="6"/>
        <v>No</v>
      </c>
      <c r="E135" s="9">
        <f>$B135*'Kroger Payments'!C$19</f>
        <v>5814.3022150280622</v>
      </c>
      <c r="F135" s="9">
        <f>$B135*'Kroger Payments'!D$19</f>
        <v>5814.3022150280622</v>
      </c>
      <c r="G135" s="9">
        <f>$B135*'Kroger Payments'!E$19</f>
        <v>5814.3022150280622</v>
      </c>
      <c r="H135" s="9">
        <f>$B135*'Kroger Payments'!F$19</f>
        <v>5814.3022150280622</v>
      </c>
      <c r="I135" s="9">
        <f>$B135*'Kroger Payments'!G$19</f>
        <v>5814.3022150280622</v>
      </c>
      <c r="J135" s="9">
        <f>$B135*'Kroger Payments'!H$19</f>
        <v>5814.3022150280622</v>
      </c>
      <c r="K135" s="9">
        <f>$B135*'Kroger Payments'!I$19</f>
        <v>5814.3022150280622</v>
      </c>
      <c r="L135" s="9">
        <f>$B135*'Kroger Payments'!J$19</f>
        <v>6120.3181210821713</v>
      </c>
      <c r="M135" s="9">
        <f>$B135*'Kroger Payments'!K$19</f>
        <v>6120.3181210821713</v>
      </c>
      <c r="N135" s="9">
        <f>$B135*'Kroger Payments'!L$19</f>
        <v>6120.3181210821713</v>
      </c>
      <c r="O135" s="9">
        <f>$B135*'Kroger Payments'!M$19</f>
        <v>6120.3181216432004</v>
      </c>
      <c r="P135" s="7">
        <f t="shared" si="5"/>
        <v>65181.387990086143</v>
      </c>
    </row>
    <row r="136" spans="1:16" x14ac:dyDescent="0.35">
      <c r="A136" s="3" t="s">
        <v>166</v>
      </c>
      <c r="B136" s="16">
        <v>1.1024812279999999E-3</v>
      </c>
      <c r="C136" s="8" t="s">
        <v>166</v>
      </c>
      <c r="D136" s="8" t="str">
        <f t="shared" si="6"/>
        <v>No</v>
      </c>
      <c r="E136" s="9">
        <f>$B136*'Kroger Payments'!C$19</f>
        <v>1995.3952183666338</v>
      </c>
      <c r="F136" s="9">
        <f>$B136*'Kroger Payments'!D$19</f>
        <v>1995.3952183666338</v>
      </c>
      <c r="G136" s="9">
        <f>$B136*'Kroger Payments'!E$19</f>
        <v>1995.3952183666338</v>
      </c>
      <c r="H136" s="9">
        <f>$B136*'Kroger Payments'!F$19</f>
        <v>1995.3952183666338</v>
      </c>
      <c r="I136" s="9">
        <f>$B136*'Kroger Payments'!G$19</f>
        <v>1995.3952183666338</v>
      </c>
      <c r="J136" s="9">
        <f>$B136*'Kroger Payments'!H$19</f>
        <v>1995.3952183666338</v>
      </c>
      <c r="K136" s="9">
        <f>$B136*'Kroger Payments'!I$19</f>
        <v>1995.3952183666338</v>
      </c>
      <c r="L136" s="9">
        <f>$B136*'Kroger Payments'!J$19</f>
        <v>2100.4160193332987</v>
      </c>
      <c r="M136" s="9">
        <f>$B136*'Kroger Payments'!K$19</f>
        <v>2100.4160193332987</v>
      </c>
      <c r="N136" s="9">
        <f>$B136*'Kroger Payments'!L$19</f>
        <v>2100.4160193332987</v>
      </c>
      <c r="O136" s="9">
        <f>$B136*'Kroger Payments'!M$19</f>
        <v>2100.4160195258369</v>
      </c>
      <c r="P136" s="7">
        <f t="shared" si="5"/>
        <v>22369.430606092166</v>
      </c>
    </row>
    <row r="137" spans="1:16" x14ac:dyDescent="0.35">
      <c r="A137" s="3" t="s">
        <v>98</v>
      </c>
      <c r="B137" s="16">
        <v>9.1866455000000002E-5</v>
      </c>
      <c r="C137" s="8" t="s">
        <v>167</v>
      </c>
      <c r="D137" s="8" t="str">
        <f t="shared" si="6"/>
        <v>No</v>
      </c>
      <c r="E137" s="9">
        <f>$B137*'Kroger Payments'!C$19</f>
        <v>166.27030046383115</v>
      </c>
      <c r="F137" s="9">
        <f>$B137*'Kroger Payments'!D$19</f>
        <v>166.27030046383115</v>
      </c>
      <c r="G137" s="9">
        <f>$B137*'Kroger Payments'!E$19</f>
        <v>166.27030046383115</v>
      </c>
      <c r="H137" s="9">
        <f>$B137*'Kroger Payments'!F$19</f>
        <v>166.27030046383115</v>
      </c>
      <c r="I137" s="9">
        <f>$B137*'Kroger Payments'!G$19</f>
        <v>166.27030046383115</v>
      </c>
      <c r="J137" s="9">
        <f>$B137*'Kroger Payments'!H$19</f>
        <v>166.27030046383115</v>
      </c>
      <c r="K137" s="9">
        <f>$B137*'Kroger Payments'!I$19</f>
        <v>166.27030046383115</v>
      </c>
      <c r="L137" s="9">
        <f>$B137*'Kroger Payments'!J$19</f>
        <v>175.02136890929597</v>
      </c>
      <c r="M137" s="9">
        <f>$B137*'Kroger Payments'!K$19</f>
        <v>175.02136890929597</v>
      </c>
      <c r="N137" s="9">
        <f>$B137*'Kroger Payments'!L$19</f>
        <v>175.02136890929597</v>
      </c>
      <c r="O137" s="9">
        <f>$B137*'Kroger Payments'!M$19</f>
        <v>175.02136892533957</v>
      </c>
      <c r="P137" s="7">
        <f t="shared" si="5"/>
        <v>1863.9775789000455</v>
      </c>
    </row>
    <row r="138" spans="1:16" x14ac:dyDescent="0.35">
      <c r="A138" s="3" t="s">
        <v>168</v>
      </c>
      <c r="B138" s="16">
        <v>5.7202046780000003E-3</v>
      </c>
      <c r="C138" s="8" t="s">
        <v>168</v>
      </c>
      <c r="D138" s="8" t="str">
        <f t="shared" si="6"/>
        <v>No</v>
      </c>
      <c r="E138" s="9">
        <f>$B138*'Kroger Payments'!C$19</f>
        <v>10353.073388166253</v>
      </c>
      <c r="F138" s="9">
        <f>$B138*'Kroger Payments'!D$19</f>
        <v>10353.073388166253</v>
      </c>
      <c r="G138" s="9">
        <f>$B138*'Kroger Payments'!E$19</f>
        <v>10353.073388166253</v>
      </c>
      <c r="H138" s="9">
        <f>$B138*'Kroger Payments'!F$19</f>
        <v>10353.073388166253</v>
      </c>
      <c r="I138" s="9">
        <f>$B138*'Kroger Payments'!G$19</f>
        <v>10353.073388166253</v>
      </c>
      <c r="J138" s="9">
        <f>$B138*'Kroger Payments'!H$19</f>
        <v>10353.073388166253</v>
      </c>
      <c r="K138" s="9">
        <f>$B138*'Kroger Payments'!I$19</f>
        <v>10353.073388166253</v>
      </c>
      <c r="L138" s="9">
        <f>$B138*'Kroger Payments'!J$19</f>
        <v>10897.971987543424</v>
      </c>
      <c r="M138" s="9">
        <f>$B138*'Kroger Payments'!K$19</f>
        <v>10897.971987543424</v>
      </c>
      <c r="N138" s="9">
        <f>$B138*'Kroger Payments'!L$19</f>
        <v>10897.971987543424</v>
      </c>
      <c r="O138" s="9">
        <f>$B138*'Kroger Payments'!M$19</f>
        <v>10897.971988542406</v>
      </c>
      <c r="P138" s="7">
        <f t="shared" si="5"/>
        <v>116063.40166833645</v>
      </c>
    </row>
    <row r="139" spans="1:16" x14ac:dyDescent="0.35">
      <c r="A139" s="3" t="s">
        <v>55</v>
      </c>
      <c r="B139" s="16">
        <v>1.7642510100000001E-3</v>
      </c>
      <c r="C139" s="8" t="s">
        <v>169</v>
      </c>
      <c r="D139" s="8" t="str">
        <f t="shared" si="6"/>
        <v>No</v>
      </c>
      <c r="E139" s="9">
        <f>$B139*'Kroger Payments'!C$19</f>
        <v>3193.1410167761192</v>
      </c>
      <c r="F139" s="9">
        <f>$B139*'Kroger Payments'!D$19</f>
        <v>3193.1410167761192</v>
      </c>
      <c r="G139" s="9">
        <f>$B139*'Kroger Payments'!E$19</f>
        <v>3193.1410167761192</v>
      </c>
      <c r="H139" s="9">
        <f>$B139*'Kroger Payments'!F$19</f>
        <v>3193.1410167761192</v>
      </c>
      <c r="I139" s="9">
        <f>$B139*'Kroger Payments'!G$19</f>
        <v>3193.1410167761192</v>
      </c>
      <c r="J139" s="9">
        <f>$B139*'Kroger Payments'!H$19</f>
        <v>3193.1410167761192</v>
      </c>
      <c r="K139" s="9">
        <f>$B139*'Kroger Payments'!I$19</f>
        <v>3193.1410167761192</v>
      </c>
      <c r="L139" s="9">
        <f>$B139*'Kroger Payments'!J$19</f>
        <v>3361.2010702906518</v>
      </c>
      <c r="M139" s="9">
        <f>$B139*'Kroger Payments'!K$19</f>
        <v>3361.2010702906518</v>
      </c>
      <c r="N139" s="9">
        <f>$B139*'Kroger Payments'!L$19</f>
        <v>3361.2010702906518</v>
      </c>
      <c r="O139" s="9">
        <f>$B139*'Kroger Payments'!M$19</f>
        <v>3361.2010705987618</v>
      </c>
      <c r="P139" s="7">
        <f t="shared" si="5"/>
        <v>35796.791398903551</v>
      </c>
    </row>
    <row r="140" spans="1:16" x14ac:dyDescent="0.35">
      <c r="A140" s="3" t="s">
        <v>55</v>
      </c>
      <c r="B140" s="16">
        <v>1.0855421077000001E-2</v>
      </c>
      <c r="C140" s="8" t="s">
        <v>55</v>
      </c>
      <c r="D140" s="8" t="str">
        <f t="shared" si="6"/>
        <v>No</v>
      </c>
      <c r="E140" s="9">
        <f>$B140*'Kroger Payments'!C$19</f>
        <v>19647.368826131318</v>
      </c>
      <c r="F140" s="9">
        <f>$B140*'Kroger Payments'!D$19</f>
        <v>19647.368826131318</v>
      </c>
      <c r="G140" s="9">
        <f>$B140*'Kroger Payments'!E$19</f>
        <v>19647.368826131318</v>
      </c>
      <c r="H140" s="9">
        <f>$B140*'Kroger Payments'!F$19</f>
        <v>19647.368826131318</v>
      </c>
      <c r="I140" s="9">
        <f>$B140*'Kroger Payments'!G$19</f>
        <v>19647.368826131318</v>
      </c>
      <c r="J140" s="9">
        <f>$B140*'Kroger Payments'!H$19</f>
        <v>19647.368826131318</v>
      </c>
      <c r="K140" s="9">
        <f>$B140*'Kroger Payments'!I$19</f>
        <v>19647.368826131318</v>
      </c>
      <c r="L140" s="9">
        <f>$B140*'Kroger Payments'!J$19</f>
        <v>20681.440869611917</v>
      </c>
      <c r="M140" s="9">
        <f>$B140*'Kroger Payments'!K$19</f>
        <v>20681.440869611917</v>
      </c>
      <c r="N140" s="9">
        <f>$B140*'Kroger Payments'!L$19</f>
        <v>20681.440869611917</v>
      </c>
      <c r="O140" s="9">
        <f>$B140*'Kroger Payments'!M$19</f>
        <v>20681.440871507715</v>
      </c>
      <c r="P140" s="7">
        <f t="shared" si="5"/>
        <v>220257.34526326272</v>
      </c>
    </row>
    <row r="141" spans="1:16" x14ac:dyDescent="0.35">
      <c r="A141" s="3" t="s">
        <v>83</v>
      </c>
      <c r="B141" s="16">
        <v>5.2023032100000002E-4</v>
      </c>
      <c r="C141" s="8" t="s">
        <v>170</v>
      </c>
      <c r="D141" s="8" t="str">
        <f t="shared" si="6"/>
        <v>No</v>
      </c>
      <c r="E141" s="9">
        <f>$B141*'Kroger Payments'!C$19</f>
        <v>941.57167361106224</v>
      </c>
      <c r="F141" s="9">
        <f>$B141*'Kroger Payments'!D$19</f>
        <v>941.57167361106224</v>
      </c>
      <c r="G141" s="9">
        <f>$B141*'Kroger Payments'!E$19</f>
        <v>941.57167361106224</v>
      </c>
      <c r="H141" s="9">
        <f>$B141*'Kroger Payments'!F$19</f>
        <v>941.57167361106224</v>
      </c>
      <c r="I141" s="9">
        <f>$B141*'Kroger Payments'!G$19</f>
        <v>941.57167361106224</v>
      </c>
      <c r="J141" s="9">
        <f>$B141*'Kroger Payments'!H$19</f>
        <v>941.57167361106224</v>
      </c>
      <c r="K141" s="9">
        <f>$B141*'Kroger Payments'!I$19</f>
        <v>941.57167361106224</v>
      </c>
      <c r="L141" s="9">
        <f>$B141*'Kroger Payments'!J$19</f>
        <v>991.12807748532873</v>
      </c>
      <c r="M141" s="9">
        <f>$B141*'Kroger Payments'!K$19</f>
        <v>991.12807748532873</v>
      </c>
      <c r="N141" s="9">
        <f>$B141*'Kroger Payments'!L$19</f>
        <v>991.12807748532873</v>
      </c>
      <c r="O141" s="9">
        <f>$B141*'Kroger Payments'!M$19</f>
        <v>991.12807757618202</v>
      </c>
      <c r="P141" s="7">
        <f t="shared" si="5"/>
        <v>10555.514025309605</v>
      </c>
    </row>
    <row r="142" spans="1:16" x14ac:dyDescent="0.35">
      <c r="A142" s="3" t="s">
        <v>83</v>
      </c>
      <c r="B142" s="16">
        <v>3.7872689929999998E-3</v>
      </c>
      <c r="C142" s="8" t="s">
        <v>171</v>
      </c>
      <c r="D142" s="8" t="str">
        <f t="shared" si="6"/>
        <v>No</v>
      </c>
      <c r="E142" s="9">
        <f>$B142*'Kroger Payments'!C$19</f>
        <v>6854.6277681386664</v>
      </c>
      <c r="F142" s="9">
        <f>$B142*'Kroger Payments'!D$19</f>
        <v>6854.6277681386664</v>
      </c>
      <c r="G142" s="9">
        <f>$B142*'Kroger Payments'!E$19</f>
        <v>6854.6277681386664</v>
      </c>
      <c r="H142" s="9">
        <f>$B142*'Kroger Payments'!F$19</f>
        <v>6854.6277681386664</v>
      </c>
      <c r="I142" s="9">
        <f>$B142*'Kroger Payments'!G$19</f>
        <v>6854.6277681386664</v>
      </c>
      <c r="J142" s="9">
        <f>$B142*'Kroger Payments'!H$19</f>
        <v>6854.6277681386664</v>
      </c>
      <c r="K142" s="9">
        <f>$B142*'Kroger Payments'!I$19</f>
        <v>6854.6277681386664</v>
      </c>
      <c r="L142" s="9">
        <f>$B142*'Kroger Payments'!J$19</f>
        <v>7215.3976506722802</v>
      </c>
      <c r="M142" s="9">
        <f>$B142*'Kroger Payments'!K$19</f>
        <v>7215.3976506722802</v>
      </c>
      <c r="N142" s="9">
        <f>$B142*'Kroger Payments'!L$19</f>
        <v>7215.3976506722802</v>
      </c>
      <c r="O142" s="9">
        <f>$B142*'Kroger Payments'!M$19</f>
        <v>7215.397651333692</v>
      </c>
      <c r="P142" s="7">
        <f t="shared" si="5"/>
        <v>76843.984980321198</v>
      </c>
    </row>
    <row r="143" spans="1:16" x14ac:dyDescent="0.35">
      <c r="A143" s="3" t="s">
        <v>83</v>
      </c>
      <c r="B143" s="16">
        <v>1.9845600355E-2</v>
      </c>
      <c r="C143" s="8" t="s">
        <v>83</v>
      </c>
      <c r="D143" s="8" t="str">
        <f t="shared" si="6"/>
        <v>No</v>
      </c>
      <c r="E143" s="9">
        <f>$B143*'Kroger Payments'!C$19</f>
        <v>35918.812083376506</v>
      </c>
      <c r="F143" s="9">
        <f>$B143*'Kroger Payments'!D$19</f>
        <v>35918.812083376506</v>
      </c>
      <c r="G143" s="9">
        <f>$B143*'Kroger Payments'!E$19</f>
        <v>35918.812083376506</v>
      </c>
      <c r="H143" s="9">
        <f>$B143*'Kroger Payments'!F$19</f>
        <v>35918.812083376506</v>
      </c>
      <c r="I143" s="9">
        <f>$B143*'Kroger Payments'!G$19</f>
        <v>35918.812083376506</v>
      </c>
      <c r="J143" s="9">
        <f>$B143*'Kroger Payments'!H$19</f>
        <v>35918.812083376506</v>
      </c>
      <c r="K143" s="9">
        <f>$B143*'Kroger Payments'!I$19</f>
        <v>35918.812083376506</v>
      </c>
      <c r="L143" s="9">
        <f>$B143*'Kroger Payments'!J$19</f>
        <v>37809.275877238433</v>
      </c>
      <c r="M143" s="9">
        <f>$B143*'Kroger Payments'!K$19</f>
        <v>37809.275877238433</v>
      </c>
      <c r="N143" s="9">
        <f>$B143*'Kroger Payments'!L$19</f>
        <v>37809.275877238433</v>
      </c>
      <c r="O143" s="9">
        <f>$B143*'Kroger Payments'!M$19</f>
        <v>37809.275880704277</v>
      </c>
      <c r="P143" s="7">
        <f t="shared" si="5"/>
        <v>402668.78809605516</v>
      </c>
    </row>
    <row r="144" spans="1:16" x14ac:dyDescent="0.35">
      <c r="A144" s="3" t="s">
        <v>172</v>
      </c>
      <c r="B144" s="16">
        <v>1.6463996679999999E-3</v>
      </c>
      <c r="C144" s="8" t="s">
        <v>172</v>
      </c>
      <c r="D144" s="8" t="str">
        <f t="shared" si="6"/>
        <v>No</v>
      </c>
      <c r="E144" s="9">
        <f>$B144*'Kroger Payments'!C$19</f>
        <v>2979.8403288982017</v>
      </c>
      <c r="F144" s="9">
        <f>$B144*'Kroger Payments'!D$19</f>
        <v>2979.8403288982017</v>
      </c>
      <c r="G144" s="9">
        <f>$B144*'Kroger Payments'!E$19</f>
        <v>2979.8403288982017</v>
      </c>
      <c r="H144" s="9">
        <f>$B144*'Kroger Payments'!F$19</f>
        <v>2979.8403288982017</v>
      </c>
      <c r="I144" s="9">
        <f>$B144*'Kroger Payments'!G$19</f>
        <v>2979.8403288982017</v>
      </c>
      <c r="J144" s="9">
        <f>$B144*'Kroger Payments'!H$19</f>
        <v>2979.8403288982017</v>
      </c>
      <c r="K144" s="9">
        <f>$B144*'Kroger Payments'!I$19</f>
        <v>2979.8403288982017</v>
      </c>
      <c r="L144" s="9">
        <f>$B144*'Kroger Payments'!J$19</f>
        <v>3136.6740304191599</v>
      </c>
      <c r="M144" s="9">
        <f>$B144*'Kroger Payments'!K$19</f>
        <v>3136.6740304191599</v>
      </c>
      <c r="N144" s="9">
        <f>$B144*'Kroger Payments'!L$19</f>
        <v>3136.6740304191599</v>
      </c>
      <c r="O144" s="9">
        <f>$B144*'Kroger Payments'!M$19</f>
        <v>3136.674030706688</v>
      </c>
      <c r="P144" s="7">
        <f t="shared" si="5"/>
        <v>33405.578424251573</v>
      </c>
    </row>
    <row r="145" spans="1:16" x14ac:dyDescent="0.35">
      <c r="A145" s="3" t="s">
        <v>14</v>
      </c>
      <c r="B145" s="16">
        <v>2.7808259408E-2</v>
      </c>
      <c r="C145" s="8" t="s">
        <v>14</v>
      </c>
      <c r="D145" s="8" t="str">
        <f t="shared" si="6"/>
        <v>No</v>
      </c>
      <c r="E145" s="9">
        <f>$B145*'Kroger Payments'!C$19</f>
        <v>50330.533023662661</v>
      </c>
      <c r="F145" s="9">
        <f>$B145*'Kroger Payments'!D$19</f>
        <v>50330.533023662661</v>
      </c>
      <c r="G145" s="9">
        <f>$B145*'Kroger Payments'!E$19</f>
        <v>50330.533023662661</v>
      </c>
      <c r="H145" s="9">
        <f>$B145*'Kroger Payments'!F$19</f>
        <v>50330.533023662661</v>
      </c>
      <c r="I145" s="9">
        <f>$B145*'Kroger Payments'!G$19</f>
        <v>50330.533023662661</v>
      </c>
      <c r="J145" s="9">
        <f>$B145*'Kroger Payments'!H$19</f>
        <v>50330.533023662661</v>
      </c>
      <c r="K145" s="9">
        <f>$B145*'Kroger Payments'!I$19</f>
        <v>50330.533023662661</v>
      </c>
      <c r="L145" s="9">
        <f>$B145*'Kroger Payments'!J$19</f>
        <v>52979.508445960695</v>
      </c>
      <c r="M145" s="9">
        <f>$B145*'Kroger Payments'!K$19</f>
        <v>52979.508445960695</v>
      </c>
      <c r="N145" s="9">
        <f>$B145*'Kroger Payments'!L$19</f>
        <v>52979.508445960695</v>
      </c>
      <c r="O145" s="9">
        <f>$B145*'Kroger Payments'!M$19</f>
        <v>52979.508450817149</v>
      </c>
      <c r="P145" s="7">
        <f t="shared" si="5"/>
        <v>564231.76495433797</v>
      </c>
    </row>
    <row r="146" spans="1:16" x14ac:dyDescent="0.35">
      <c r="A146" s="3" t="s">
        <v>14</v>
      </c>
      <c r="B146" s="16">
        <v>1.4233070820000001E-3</v>
      </c>
      <c r="C146" s="8" t="s">
        <v>173</v>
      </c>
      <c r="D146" s="8" t="str">
        <f t="shared" si="6"/>
        <v>No</v>
      </c>
      <c r="E146" s="9">
        <f>$B146*'Kroger Payments'!C$19</f>
        <v>2576.0621347197821</v>
      </c>
      <c r="F146" s="9">
        <f>$B146*'Kroger Payments'!D$19</f>
        <v>2576.0621347197821</v>
      </c>
      <c r="G146" s="9">
        <f>$B146*'Kroger Payments'!E$19</f>
        <v>2576.0621347197821</v>
      </c>
      <c r="H146" s="9">
        <f>$B146*'Kroger Payments'!F$19</f>
        <v>2576.0621347197821</v>
      </c>
      <c r="I146" s="9">
        <f>$B146*'Kroger Payments'!G$19</f>
        <v>2576.0621347197821</v>
      </c>
      <c r="J146" s="9">
        <f>$B146*'Kroger Payments'!H$19</f>
        <v>2576.0621347197821</v>
      </c>
      <c r="K146" s="9">
        <f>$B146*'Kroger Payments'!I$19</f>
        <v>2576.0621347197821</v>
      </c>
      <c r="L146" s="9">
        <f>$B146*'Kroger Payments'!J$19</f>
        <v>2711.6443523366124</v>
      </c>
      <c r="M146" s="9">
        <f>$B146*'Kroger Payments'!K$19</f>
        <v>2711.6443523366124</v>
      </c>
      <c r="N146" s="9">
        <f>$B146*'Kroger Payments'!L$19</f>
        <v>2711.6443523366124</v>
      </c>
      <c r="O146" s="9">
        <f>$B146*'Kroger Payments'!M$19</f>
        <v>2711.6443525851801</v>
      </c>
      <c r="P146" s="7">
        <f t="shared" si="5"/>
        <v>28879.012352633486</v>
      </c>
    </row>
    <row r="147" spans="1:16" x14ac:dyDescent="0.35">
      <c r="A147" s="3" t="s">
        <v>174</v>
      </c>
      <c r="B147" s="16">
        <v>6.7676775000000001E-5</v>
      </c>
      <c r="C147" s="8" t="s">
        <v>174</v>
      </c>
      <c r="D147" s="8" t="str">
        <f t="shared" si="6"/>
        <v>No</v>
      </c>
      <c r="E147" s="9">
        <f>$B147*'Kroger Payments'!C$19</f>
        <v>122.48908171838237</v>
      </c>
      <c r="F147" s="9">
        <f>$B147*'Kroger Payments'!D$19</f>
        <v>122.48908171838237</v>
      </c>
      <c r="G147" s="9">
        <f>$B147*'Kroger Payments'!E$19</f>
        <v>122.48908171838237</v>
      </c>
      <c r="H147" s="9">
        <f>$B147*'Kroger Payments'!F$19</f>
        <v>122.48908171838237</v>
      </c>
      <c r="I147" s="9">
        <f>$B147*'Kroger Payments'!G$19</f>
        <v>122.48908171838237</v>
      </c>
      <c r="J147" s="9">
        <f>$B147*'Kroger Payments'!H$19</f>
        <v>122.48908171838237</v>
      </c>
      <c r="K147" s="9">
        <f>$B147*'Kroger Payments'!I$19</f>
        <v>122.48908171838237</v>
      </c>
      <c r="L147" s="9">
        <f>$B147*'Kroger Payments'!J$19</f>
        <v>128.93587549303408</v>
      </c>
      <c r="M147" s="9">
        <f>$B147*'Kroger Payments'!K$19</f>
        <v>128.93587549303408</v>
      </c>
      <c r="N147" s="9">
        <f>$B147*'Kroger Payments'!L$19</f>
        <v>128.93587549303408</v>
      </c>
      <c r="O147" s="9">
        <f>$B147*'Kroger Payments'!M$19</f>
        <v>128.93587550485319</v>
      </c>
      <c r="P147" s="7">
        <f t="shared" si="5"/>
        <v>1373.1670740126319</v>
      </c>
    </row>
    <row r="148" spans="1:16" x14ac:dyDescent="0.35">
      <c r="A148" s="3" t="s">
        <v>175</v>
      </c>
      <c r="B148" s="16">
        <v>7.28348971E-4</v>
      </c>
      <c r="C148" s="8" t="s">
        <v>175</v>
      </c>
      <c r="D148" s="8" t="str">
        <f t="shared" si="6"/>
        <v>No</v>
      </c>
      <c r="E148" s="9">
        <f>$B148*'Kroger Payments'!C$19</f>
        <v>1318.2483448467915</v>
      </c>
      <c r="F148" s="9">
        <f>$B148*'Kroger Payments'!D$19</f>
        <v>1318.2483448467915</v>
      </c>
      <c r="G148" s="9">
        <f>$B148*'Kroger Payments'!E$19</f>
        <v>1318.2483448467915</v>
      </c>
      <c r="H148" s="9">
        <f>$B148*'Kroger Payments'!F$19</f>
        <v>1318.2483448467915</v>
      </c>
      <c r="I148" s="9">
        <f>$B148*'Kroger Payments'!G$19</f>
        <v>1318.2483448467915</v>
      </c>
      <c r="J148" s="9">
        <f>$B148*'Kroger Payments'!H$19</f>
        <v>1318.2483448467915</v>
      </c>
      <c r="K148" s="9">
        <f>$B148*'Kroger Payments'!I$19</f>
        <v>1318.2483448467915</v>
      </c>
      <c r="L148" s="9">
        <f>$B148*'Kroger Payments'!J$19</f>
        <v>1387.629836680833</v>
      </c>
      <c r="M148" s="9">
        <f>$B148*'Kroger Payments'!K$19</f>
        <v>1387.629836680833</v>
      </c>
      <c r="N148" s="9">
        <f>$B148*'Kroger Payments'!L$19</f>
        <v>1387.629836680833</v>
      </c>
      <c r="O148" s="9">
        <f>$B148*'Kroger Payments'!M$19</f>
        <v>1387.6298368080325</v>
      </c>
      <c r="P148" s="7">
        <f t="shared" si="5"/>
        <v>14778.257760778073</v>
      </c>
    </row>
    <row r="149" spans="1:16" x14ac:dyDescent="0.35">
      <c r="A149" s="3" t="s">
        <v>176</v>
      </c>
      <c r="B149" s="16">
        <v>5.3079834250000001E-3</v>
      </c>
      <c r="C149" s="8" t="s">
        <v>177</v>
      </c>
      <c r="D149" s="8" t="str">
        <f t="shared" si="6"/>
        <v>No</v>
      </c>
      <c r="E149" s="9">
        <f>$B149*'Kroger Payments'!C$19</f>
        <v>9606.9887417750651</v>
      </c>
      <c r="F149" s="9">
        <f>$B149*'Kroger Payments'!D$19</f>
        <v>9606.9887417750651</v>
      </c>
      <c r="G149" s="9">
        <f>$B149*'Kroger Payments'!E$19</f>
        <v>9606.9887417750651</v>
      </c>
      <c r="H149" s="9">
        <f>$B149*'Kroger Payments'!F$19</f>
        <v>9606.9887417750651</v>
      </c>
      <c r="I149" s="9">
        <f>$B149*'Kroger Payments'!G$19</f>
        <v>9606.9887417750651</v>
      </c>
      <c r="J149" s="9">
        <f>$B149*'Kroger Payments'!H$19</f>
        <v>9606.9887417750651</v>
      </c>
      <c r="K149" s="9">
        <f>$B149*'Kroger Payments'!I$19</f>
        <v>9606.9887417750651</v>
      </c>
      <c r="L149" s="9">
        <f>$B149*'Kroger Payments'!J$19</f>
        <v>10112.61972818428</v>
      </c>
      <c r="M149" s="9">
        <f>$B149*'Kroger Payments'!K$19</f>
        <v>10112.61972818428</v>
      </c>
      <c r="N149" s="9">
        <f>$B149*'Kroger Payments'!L$19</f>
        <v>10112.61972818428</v>
      </c>
      <c r="O149" s="9">
        <f>$B149*'Kroger Payments'!M$19</f>
        <v>10112.619729111269</v>
      </c>
      <c r="P149" s="7">
        <f t="shared" si="5"/>
        <v>107699.40010608954</v>
      </c>
    </row>
    <row r="150" spans="1:16" x14ac:dyDescent="0.35">
      <c r="A150" s="3" t="s">
        <v>178</v>
      </c>
      <c r="B150" s="16">
        <v>7.9169539510000001E-3</v>
      </c>
      <c r="C150" s="8" t="s">
        <v>178</v>
      </c>
      <c r="D150" s="8" t="str">
        <f t="shared" si="6"/>
        <v>No</v>
      </c>
      <c r="E150" s="9">
        <f>$B150*'Kroger Payments'!C$19</f>
        <v>14328.998677385398</v>
      </c>
      <c r="F150" s="9">
        <f>$B150*'Kroger Payments'!D$19</f>
        <v>14328.998677385398</v>
      </c>
      <c r="G150" s="9">
        <f>$B150*'Kroger Payments'!E$19</f>
        <v>14328.998677385398</v>
      </c>
      <c r="H150" s="9">
        <f>$B150*'Kroger Payments'!F$19</f>
        <v>14328.998677385398</v>
      </c>
      <c r="I150" s="9">
        <f>$B150*'Kroger Payments'!G$19</f>
        <v>14328.998677385398</v>
      </c>
      <c r="J150" s="9">
        <f>$B150*'Kroger Payments'!H$19</f>
        <v>14328.998677385398</v>
      </c>
      <c r="K150" s="9">
        <f>$B150*'Kroger Payments'!I$19</f>
        <v>14328.998677385398</v>
      </c>
      <c r="L150" s="9">
        <f>$B150*'Kroger Payments'!J$19</f>
        <v>15083.156502510947</v>
      </c>
      <c r="M150" s="9">
        <f>$B150*'Kroger Payments'!K$19</f>
        <v>15083.156502510947</v>
      </c>
      <c r="N150" s="9">
        <f>$B150*'Kroger Payments'!L$19</f>
        <v>15083.156502510947</v>
      </c>
      <c r="O150" s="9">
        <f>$B150*'Kroger Payments'!M$19</f>
        <v>15083.156503893568</v>
      </c>
      <c r="P150" s="7">
        <f t="shared" si="5"/>
        <v>160635.61675312422</v>
      </c>
    </row>
    <row r="151" spans="1:16" x14ac:dyDescent="0.35">
      <c r="A151" s="3" t="s">
        <v>179</v>
      </c>
      <c r="B151" s="16">
        <v>1.2373834819999999E-3</v>
      </c>
      <c r="C151" s="8" t="s">
        <v>179</v>
      </c>
      <c r="D151" s="8" t="str">
        <f t="shared" si="6"/>
        <v>No</v>
      </c>
      <c r="E151" s="9">
        <f>$B151*'Kroger Payments'!C$19</f>
        <v>2239.5565752604866</v>
      </c>
      <c r="F151" s="9">
        <f>$B151*'Kroger Payments'!D$19</f>
        <v>2239.5565752604866</v>
      </c>
      <c r="G151" s="9">
        <f>$B151*'Kroger Payments'!E$19</f>
        <v>2239.5565752604866</v>
      </c>
      <c r="H151" s="9">
        <f>$B151*'Kroger Payments'!F$19</f>
        <v>2239.5565752604866</v>
      </c>
      <c r="I151" s="9">
        <f>$B151*'Kroger Payments'!G$19</f>
        <v>2239.5565752604866</v>
      </c>
      <c r="J151" s="9">
        <f>$B151*'Kroger Payments'!H$19</f>
        <v>2239.5565752604866</v>
      </c>
      <c r="K151" s="9">
        <f>$B151*'Kroger Payments'!I$19</f>
        <v>2239.5565752604866</v>
      </c>
      <c r="L151" s="9">
        <f>$B151*'Kroger Payments'!J$19</f>
        <v>2357.4279739584067</v>
      </c>
      <c r="M151" s="9">
        <f>$B151*'Kroger Payments'!K$19</f>
        <v>2357.4279739584067</v>
      </c>
      <c r="N151" s="9">
        <f>$B151*'Kroger Payments'!L$19</f>
        <v>2357.4279739584067</v>
      </c>
      <c r="O151" s="9">
        <f>$B151*'Kroger Payments'!M$19</f>
        <v>2357.4279741745045</v>
      </c>
      <c r="P151" s="7">
        <f t="shared" si="5"/>
        <v>25106.607922873129</v>
      </c>
    </row>
    <row r="152" spans="1:16" x14ac:dyDescent="0.35">
      <c r="A152" s="3" t="s">
        <v>16</v>
      </c>
      <c r="B152" s="16">
        <v>7.8783865659999997E-3</v>
      </c>
      <c r="C152" s="8" t="s">
        <v>16</v>
      </c>
      <c r="D152" s="8" t="str">
        <f t="shared" si="6"/>
        <v>No</v>
      </c>
      <c r="E152" s="9">
        <f>$B152*'Kroger Payments'!C$19</f>
        <v>14259.19506199549</v>
      </c>
      <c r="F152" s="9">
        <f>$B152*'Kroger Payments'!D$19</f>
        <v>14259.19506199549</v>
      </c>
      <c r="G152" s="9">
        <f>$B152*'Kroger Payments'!E$19</f>
        <v>14259.19506199549</v>
      </c>
      <c r="H152" s="9">
        <f>$B152*'Kroger Payments'!F$19</f>
        <v>14259.19506199549</v>
      </c>
      <c r="I152" s="9">
        <f>$B152*'Kroger Payments'!G$19</f>
        <v>14259.19506199549</v>
      </c>
      <c r="J152" s="9">
        <f>$B152*'Kroger Payments'!H$19</f>
        <v>14259.19506199549</v>
      </c>
      <c r="K152" s="9">
        <f>$B152*'Kroger Payments'!I$19</f>
        <v>14259.19506199549</v>
      </c>
      <c r="L152" s="9">
        <f>$B152*'Kroger Payments'!J$19</f>
        <v>15009.679012626832</v>
      </c>
      <c r="M152" s="9">
        <f>$B152*'Kroger Payments'!K$19</f>
        <v>15009.679012626832</v>
      </c>
      <c r="N152" s="9">
        <f>$B152*'Kroger Payments'!L$19</f>
        <v>15009.679012626832</v>
      </c>
      <c r="O152" s="9">
        <f>$B152*'Kroger Payments'!M$19</f>
        <v>15009.679014002719</v>
      </c>
      <c r="P152" s="7">
        <f t="shared" si="5"/>
        <v>159853.08148585167</v>
      </c>
    </row>
    <row r="153" spans="1:16" x14ac:dyDescent="0.35">
      <c r="A153" s="3" t="s">
        <v>75</v>
      </c>
      <c r="B153" s="16">
        <v>1.11917816E-4</v>
      </c>
      <c r="C153" s="8" t="s">
        <v>180</v>
      </c>
      <c r="D153" s="8" t="str">
        <f t="shared" si="6"/>
        <v>No</v>
      </c>
      <c r="E153" s="9">
        <f>$B153*'Kroger Payments'!C$19</f>
        <v>202.56152143430123</v>
      </c>
      <c r="F153" s="9">
        <f>$B153*'Kroger Payments'!D$19</f>
        <v>202.56152143430123</v>
      </c>
      <c r="G153" s="9">
        <f>$B153*'Kroger Payments'!E$19</f>
        <v>202.56152143430123</v>
      </c>
      <c r="H153" s="9">
        <f>$B153*'Kroger Payments'!F$19</f>
        <v>202.56152143430123</v>
      </c>
      <c r="I153" s="9">
        <f>$B153*'Kroger Payments'!G$19</f>
        <v>202.56152143430123</v>
      </c>
      <c r="J153" s="9">
        <f>$B153*'Kroger Payments'!H$19</f>
        <v>202.56152143430123</v>
      </c>
      <c r="K153" s="9">
        <f>$B153*'Kroger Payments'!I$19</f>
        <v>202.56152143430123</v>
      </c>
      <c r="L153" s="9">
        <f>$B153*'Kroger Payments'!J$19</f>
        <v>213.22265414136973</v>
      </c>
      <c r="M153" s="9">
        <f>$B153*'Kroger Payments'!K$19</f>
        <v>213.22265414136973</v>
      </c>
      <c r="N153" s="9">
        <f>$B153*'Kroger Payments'!L$19</f>
        <v>213.22265414136973</v>
      </c>
      <c r="O153" s="9">
        <f>$B153*'Kroger Payments'!M$19</f>
        <v>213.22265416091514</v>
      </c>
      <c r="P153" s="7">
        <f t="shared" si="5"/>
        <v>2270.8212666251329</v>
      </c>
    </row>
    <row r="154" spans="1:16" x14ac:dyDescent="0.35">
      <c r="A154" s="3" t="s">
        <v>55</v>
      </c>
      <c r="B154" s="16">
        <v>9.0926074000000006E-5</v>
      </c>
      <c r="C154" s="8" t="s">
        <v>181</v>
      </c>
      <c r="D154" s="8" t="str">
        <f t="shared" si="6"/>
        <v>No</v>
      </c>
      <c r="E154" s="9">
        <f>$B154*'Kroger Payments'!C$19</f>
        <v>164.56829257182665</v>
      </c>
      <c r="F154" s="9">
        <f>$B154*'Kroger Payments'!D$19</f>
        <v>164.56829257182665</v>
      </c>
      <c r="G154" s="9">
        <f>$B154*'Kroger Payments'!E$19</f>
        <v>164.56829257182665</v>
      </c>
      <c r="H154" s="9">
        <f>$B154*'Kroger Payments'!F$19</f>
        <v>164.56829257182665</v>
      </c>
      <c r="I154" s="9">
        <f>$B154*'Kroger Payments'!G$19</f>
        <v>164.56829257182665</v>
      </c>
      <c r="J154" s="9">
        <f>$B154*'Kroger Payments'!H$19</f>
        <v>164.56829257182665</v>
      </c>
      <c r="K154" s="9">
        <f>$B154*'Kroger Payments'!I$19</f>
        <v>164.56829257182665</v>
      </c>
      <c r="L154" s="9">
        <f>$B154*'Kroger Payments'!J$19</f>
        <v>173.22978165455436</v>
      </c>
      <c r="M154" s="9">
        <f>$B154*'Kroger Payments'!K$19</f>
        <v>173.22978165455436</v>
      </c>
      <c r="N154" s="9">
        <f>$B154*'Kroger Payments'!L$19</f>
        <v>173.22978165455436</v>
      </c>
      <c r="O154" s="9">
        <f>$B154*'Kroger Payments'!M$19</f>
        <v>173.22978167043377</v>
      </c>
      <c r="P154" s="7">
        <f t="shared" si="5"/>
        <v>1844.8971746368832</v>
      </c>
    </row>
    <row r="155" spans="1:16" x14ac:dyDescent="0.35">
      <c r="A155" s="3" t="s">
        <v>47</v>
      </c>
      <c r="B155" s="16">
        <v>1.7847953799999999E-4</v>
      </c>
      <c r="C155" s="8" t="s">
        <v>182</v>
      </c>
      <c r="D155" s="8" t="str">
        <f t="shared" si="6"/>
        <v>No</v>
      </c>
      <c r="E155" s="9">
        <f>$B155*'Kroger Payments'!C$19</f>
        <v>323.03245411946904</v>
      </c>
      <c r="F155" s="9">
        <f>$B155*'Kroger Payments'!D$19</f>
        <v>323.03245411946904</v>
      </c>
      <c r="G155" s="9">
        <f>$B155*'Kroger Payments'!E$19</f>
        <v>323.03245411946904</v>
      </c>
      <c r="H155" s="9">
        <f>$B155*'Kroger Payments'!F$19</f>
        <v>323.03245411946904</v>
      </c>
      <c r="I155" s="9">
        <f>$B155*'Kroger Payments'!G$19</f>
        <v>323.03245411946904</v>
      </c>
      <c r="J155" s="9">
        <f>$B155*'Kroger Payments'!H$19</f>
        <v>323.03245411946904</v>
      </c>
      <c r="K155" s="9">
        <f>$B155*'Kroger Payments'!I$19</f>
        <v>323.03245411946904</v>
      </c>
      <c r="L155" s="9">
        <f>$B155*'Kroger Payments'!J$19</f>
        <v>340.03416223102005</v>
      </c>
      <c r="M155" s="9">
        <f>$B155*'Kroger Payments'!K$19</f>
        <v>340.03416223102005</v>
      </c>
      <c r="N155" s="9">
        <f>$B155*'Kroger Payments'!L$19</f>
        <v>340.03416223102005</v>
      </c>
      <c r="O155" s="9">
        <f>$B155*'Kroger Payments'!M$19</f>
        <v>340.03416226218985</v>
      </c>
      <c r="P155" s="7">
        <f t="shared" si="5"/>
        <v>3621.3638277915338</v>
      </c>
    </row>
    <row r="156" spans="1:16" x14ac:dyDescent="0.35">
      <c r="A156" s="3" t="s">
        <v>22</v>
      </c>
      <c r="B156" s="16">
        <v>1.5888032920000001E-3</v>
      </c>
      <c r="C156" s="8" t="s">
        <v>183</v>
      </c>
      <c r="D156" s="8" t="str">
        <f t="shared" si="6"/>
        <v>No</v>
      </c>
      <c r="E156" s="9">
        <f>$B156*'Kroger Payments'!C$19</f>
        <v>2875.5958933950819</v>
      </c>
      <c r="F156" s="9">
        <f>$B156*'Kroger Payments'!D$19</f>
        <v>2875.5958933950819</v>
      </c>
      <c r="G156" s="9">
        <f>$B156*'Kroger Payments'!E$19</f>
        <v>2875.5958933950819</v>
      </c>
      <c r="H156" s="9">
        <f>$B156*'Kroger Payments'!F$19</f>
        <v>2875.5958933950819</v>
      </c>
      <c r="I156" s="9">
        <f>$B156*'Kroger Payments'!G$19</f>
        <v>2875.5958933950819</v>
      </c>
      <c r="J156" s="9">
        <f>$B156*'Kroger Payments'!H$19</f>
        <v>2875.5958933950819</v>
      </c>
      <c r="K156" s="9">
        <f>$B156*'Kroger Payments'!I$19</f>
        <v>2875.5958933950819</v>
      </c>
      <c r="L156" s="9">
        <f>$B156*'Kroger Payments'!J$19</f>
        <v>3026.9430456790337</v>
      </c>
      <c r="M156" s="9">
        <f>$B156*'Kroger Payments'!K$19</f>
        <v>3026.9430456790337</v>
      </c>
      <c r="N156" s="9">
        <f>$B156*'Kroger Payments'!L$19</f>
        <v>3026.9430456790337</v>
      </c>
      <c r="O156" s="9">
        <f>$B156*'Kroger Payments'!M$19</f>
        <v>3026.9430459565033</v>
      </c>
      <c r="P156" s="7">
        <f t="shared" si="5"/>
        <v>32236.943436759175</v>
      </c>
    </row>
    <row r="157" spans="1:16" x14ac:dyDescent="0.35">
      <c r="A157" s="3" t="s">
        <v>60</v>
      </c>
      <c r="B157" s="16">
        <v>1.3371907872999999E-2</v>
      </c>
      <c r="C157" s="8" t="s">
        <v>60</v>
      </c>
      <c r="D157" s="8" t="str">
        <f t="shared" si="6"/>
        <v>No</v>
      </c>
      <c r="E157" s="9">
        <f>$B157*'Kroger Payments'!C$19</f>
        <v>24201.991247168287</v>
      </c>
      <c r="F157" s="9">
        <f>$B157*'Kroger Payments'!D$19</f>
        <v>24201.991247168287</v>
      </c>
      <c r="G157" s="9">
        <f>$B157*'Kroger Payments'!E$19</f>
        <v>24201.991247168287</v>
      </c>
      <c r="H157" s="9">
        <f>$B157*'Kroger Payments'!F$19</f>
        <v>24201.991247168287</v>
      </c>
      <c r="I157" s="9">
        <f>$B157*'Kroger Payments'!G$19</f>
        <v>24201.991247168287</v>
      </c>
      <c r="J157" s="9">
        <f>$B157*'Kroger Payments'!H$19</f>
        <v>24201.991247168287</v>
      </c>
      <c r="K157" s="9">
        <f>$B157*'Kroger Payments'!I$19</f>
        <v>24201.991247168287</v>
      </c>
      <c r="L157" s="9">
        <f>$B157*'Kroger Payments'!J$19</f>
        <v>25475.780260177144</v>
      </c>
      <c r="M157" s="9">
        <f>$B157*'Kroger Payments'!K$19</f>
        <v>25475.780260177144</v>
      </c>
      <c r="N157" s="9">
        <f>$B157*'Kroger Payments'!L$19</f>
        <v>25475.780260177144</v>
      </c>
      <c r="O157" s="9">
        <f>$B157*'Kroger Payments'!M$19</f>
        <v>25475.780262512424</v>
      </c>
      <c r="P157" s="7">
        <f t="shared" si="5"/>
        <v>271317.0597732219</v>
      </c>
    </row>
    <row r="158" spans="1:16" x14ac:dyDescent="0.35">
      <c r="A158" s="3" t="s">
        <v>22</v>
      </c>
      <c r="B158" s="16">
        <v>3.9997687199999996E-3</v>
      </c>
      <c r="C158" s="8" t="s">
        <v>184</v>
      </c>
      <c r="D158" s="8" t="str">
        <f t="shared" si="6"/>
        <v>No</v>
      </c>
      <c r="E158" s="9">
        <f>$B158*'Kroger Payments'!C$19</f>
        <v>7239.2338080339914</v>
      </c>
      <c r="F158" s="9">
        <f>$B158*'Kroger Payments'!D$19</f>
        <v>7239.2338080339914</v>
      </c>
      <c r="G158" s="9">
        <f>$B158*'Kroger Payments'!E$19</f>
        <v>7239.2338080339914</v>
      </c>
      <c r="H158" s="9">
        <f>$B158*'Kroger Payments'!F$19</f>
        <v>7239.2338080339914</v>
      </c>
      <c r="I158" s="9">
        <f>$B158*'Kroger Payments'!G$19</f>
        <v>7239.2338080339914</v>
      </c>
      <c r="J158" s="9">
        <f>$B158*'Kroger Payments'!H$19</f>
        <v>7239.2338080339914</v>
      </c>
      <c r="K158" s="9">
        <f>$B158*'Kroger Payments'!I$19</f>
        <v>7239.2338080339914</v>
      </c>
      <c r="L158" s="9">
        <f>$B158*'Kroger Payments'!J$19</f>
        <v>7620.2461137199907</v>
      </c>
      <c r="M158" s="9">
        <f>$B158*'Kroger Payments'!K$19</f>
        <v>7620.2461137199907</v>
      </c>
      <c r="N158" s="9">
        <f>$B158*'Kroger Payments'!L$19</f>
        <v>7620.2461137199907</v>
      </c>
      <c r="O158" s="9">
        <f>$B158*'Kroger Payments'!M$19</f>
        <v>7620.2461144185136</v>
      </c>
      <c r="P158" s="7">
        <f t="shared" si="5"/>
        <v>81155.621111816421</v>
      </c>
    </row>
    <row r="159" spans="1:16" x14ac:dyDescent="0.35">
      <c r="A159" s="3" t="s">
        <v>185</v>
      </c>
      <c r="B159" s="16">
        <v>6.3851549299999996E-4</v>
      </c>
      <c r="C159" s="8" t="s">
        <v>185</v>
      </c>
      <c r="D159" s="8" t="str">
        <f t="shared" si="6"/>
        <v>No</v>
      </c>
      <c r="E159" s="9">
        <f>$B159*'Kroger Payments'!C$19</f>
        <v>1155.6575560896661</v>
      </c>
      <c r="F159" s="9">
        <f>$B159*'Kroger Payments'!D$19</f>
        <v>1155.6575560896661</v>
      </c>
      <c r="G159" s="9">
        <f>$B159*'Kroger Payments'!E$19</f>
        <v>1155.6575560896661</v>
      </c>
      <c r="H159" s="9">
        <f>$B159*'Kroger Payments'!F$19</f>
        <v>1155.6575560896661</v>
      </c>
      <c r="I159" s="9">
        <f>$B159*'Kroger Payments'!G$19</f>
        <v>1155.6575560896661</v>
      </c>
      <c r="J159" s="9">
        <f>$B159*'Kroger Payments'!H$19</f>
        <v>1155.6575560896661</v>
      </c>
      <c r="K159" s="9">
        <f>$B159*'Kroger Payments'!I$19</f>
        <v>1155.6575560896661</v>
      </c>
      <c r="L159" s="9">
        <f>$B159*'Kroger Payments'!J$19</f>
        <v>1216.4816379891222</v>
      </c>
      <c r="M159" s="9">
        <f>$B159*'Kroger Payments'!K$19</f>
        <v>1216.4816379891222</v>
      </c>
      <c r="N159" s="9">
        <f>$B159*'Kroger Payments'!L$19</f>
        <v>1216.4816379891222</v>
      </c>
      <c r="O159" s="9">
        <f>$B159*'Kroger Payments'!M$19</f>
        <v>1216.4816381006328</v>
      </c>
      <c r="P159" s="7">
        <f t="shared" si="5"/>
        <v>12955.529444695661</v>
      </c>
    </row>
    <row r="160" spans="1:16" x14ac:dyDescent="0.35">
      <c r="A160" s="3" t="s">
        <v>34</v>
      </c>
      <c r="B160" s="16">
        <v>6.0287256000000001E-5</v>
      </c>
      <c r="C160" s="8" t="s">
        <v>186</v>
      </c>
      <c r="D160" s="8" t="str">
        <f t="shared" si="6"/>
        <v>No</v>
      </c>
      <c r="E160" s="9">
        <f>$B160*'Kroger Payments'!C$19</f>
        <v>109.11469446883422</v>
      </c>
      <c r="F160" s="9">
        <f>$B160*'Kroger Payments'!D$19</f>
        <v>109.11469446883422</v>
      </c>
      <c r="G160" s="9">
        <f>$B160*'Kroger Payments'!E$19</f>
        <v>109.11469446883422</v>
      </c>
      <c r="H160" s="9">
        <f>$B160*'Kroger Payments'!F$19</f>
        <v>109.11469446883422</v>
      </c>
      <c r="I160" s="9">
        <f>$B160*'Kroger Payments'!G$19</f>
        <v>109.11469446883422</v>
      </c>
      <c r="J160" s="9">
        <f>$B160*'Kroger Payments'!H$19</f>
        <v>109.11469446883422</v>
      </c>
      <c r="K160" s="9">
        <f>$B160*'Kroger Payments'!I$19</f>
        <v>109.11469446883422</v>
      </c>
      <c r="L160" s="9">
        <f>$B160*'Kroger Payments'!J$19</f>
        <v>114.85757312508866</v>
      </c>
      <c r="M160" s="9">
        <f>$B160*'Kroger Payments'!K$19</f>
        <v>114.85757312508866</v>
      </c>
      <c r="N160" s="9">
        <f>$B160*'Kroger Payments'!L$19</f>
        <v>114.85757312508866</v>
      </c>
      <c r="O160" s="9">
        <f>$B160*'Kroger Payments'!M$19</f>
        <v>114.85757313561726</v>
      </c>
      <c r="P160" s="7">
        <f t="shared" si="5"/>
        <v>1223.2331537927228</v>
      </c>
    </row>
    <row r="161" spans="1:16" x14ac:dyDescent="0.35">
      <c r="A161" s="3" t="s">
        <v>187</v>
      </c>
      <c r="B161" s="16">
        <v>9.09538431E-4</v>
      </c>
      <c r="C161" s="8" t="s">
        <v>187</v>
      </c>
      <c r="D161" s="8" t="str">
        <f t="shared" si="6"/>
        <v>No</v>
      </c>
      <c r="E161" s="9">
        <f>$B161*'Kroger Payments'!C$19</f>
        <v>1646.1855222972472</v>
      </c>
      <c r="F161" s="9">
        <f>$B161*'Kroger Payments'!D$19</f>
        <v>1646.1855222972472</v>
      </c>
      <c r="G161" s="9">
        <f>$B161*'Kroger Payments'!E$19</f>
        <v>1646.1855222972472</v>
      </c>
      <c r="H161" s="9">
        <f>$B161*'Kroger Payments'!F$19</f>
        <v>1646.1855222972472</v>
      </c>
      <c r="I161" s="9">
        <f>$B161*'Kroger Payments'!G$19</f>
        <v>1646.1855222972472</v>
      </c>
      <c r="J161" s="9">
        <f>$B161*'Kroger Payments'!H$19</f>
        <v>1646.1855222972472</v>
      </c>
      <c r="K161" s="9">
        <f>$B161*'Kroger Payments'!I$19</f>
        <v>1646.1855222972472</v>
      </c>
      <c r="L161" s="9">
        <f>$B161*'Kroger Payments'!J$19</f>
        <v>1732.8268655760498</v>
      </c>
      <c r="M161" s="9">
        <f>$B161*'Kroger Payments'!K$19</f>
        <v>1732.8268655760498</v>
      </c>
      <c r="N161" s="9">
        <f>$B161*'Kroger Payments'!L$19</f>
        <v>1732.8268655760498</v>
      </c>
      <c r="O161" s="9">
        <f>$B161*'Kroger Payments'!M$19</f>
        <v>1732.8268657348922</v>
      </c>
      <c r="P161" s="7">
        <f t="shared" si="5"/>
        <v>18454.606118543776</v>
      </c>
    </row>
    <row r="162" spans="1:16" x14ac:dyDescent="0.35">
      <c r="A162" s="3" t="s">
        <v>75</v>
      </c>
      <c r="B162" s="16">
        <v>7.7242005848999998E-2</v>
      </c>
      <c r="C162" s="8" t="s">
        <v>75</v>
      </c>
      <c r="D162" s="8" t="str">
        <f t="shared" si="6"/>
        <v>No</v>
      </c>
      <c r="E162" s="9">
        <f>$B162*'Kroger Payments'!C$19</f>
        <v>139801.3183478369</v>
      </c>
      <c r="F162" s="9">
        <f>$B162*'Kroger Payments'!D$19</f>
        <v>139801.3183478369</v>
      </c>
      <c r="G162" s="9">
        <f>$B162*'Kroger Payments'!E$19</f>
        <v>139801.3183478369</v>
      </c>
      <c r="H162" s="9">
        <f>$B162*'Kroger Payments'!F$19</f>
        <v>139801.3183478369</v>
      </c>
      <c r="I162" s="9">
        <f>$B162*'Kroger Payments'!G$19</f>
        <v>139801.3183478369</v>
      </c>
      <c r="J162" s="9">
        <f>$B162*'Kroger Payments'!H$19</f>
        <v>139801.3183478369</v>
      </c>
      <c r="K162" s="9">
        <f>$B162*'Kroger Payments'!I$19</f>
        <v>139801.3183478369</v>
      </c>
      <c r="L162" s="9">
        <f>$B162*'Kroger Payments'!J$19</f>
        <v>147159.28247140726</v>
      </c>
      <c r="M162" s="9">
        <f>$B162*'Kroger Payments'!K$19</f>
        <v>147159.28247140726</v>
      </c>
      <c r="N162" s="9">
        <f>$B162*'Kroger Payments'!L$19</f>
        <v>147159.28247140726</v>
      </c>
      <c r="O162" s="9">
        <f>$B162*'Kroger Payments'!M$19</f>
        <v>147159.28248489686</v>
      </c>
      <c r="P162" s="7">
        <f t="shared" si="5"/>
        <v>1567246.3583339767</v>
      </c>
    </row>
    <row r="163" spans="1:16" x14ac:dyDescent="0.35">
      <c r="A163" s="3" t="s">
        <v>75</v>
      </c>
      <c r="B163" s="16">
        <v>1.081932941E-3</v>
      </c>
      <c r="C163" s="8" t="s">
        <v>188</v>
      </c>
      <c r="D163" s="8" t="str">
        <f t="shared" si="6"/>
        <v>No</v>
      </c>
      <c r="E163" s="9">
        <f>$B163*'Kroger Payments'!C$19</f>
        <v>1958.2046045184447</v>
      </c>
      <c r="F163" s="9">
        <f>$B163*'Kroger Payments'!D$19</f>
        <v>1958.2046045184447</v>
      </c>
      <c r="G163" s="9">
        <f>$B163*'Kroger Payments'!E$19</f>
        <v>1958.2046045184447</v>
      </c>
      <c r="H163" s="9">
        <f>$B163*'Kroger Payments'!F$19</f>
        <v>1958.2046045184447</v>
      </c>
      <c r="I163" s="9">
        <f>$B163*'Kroger Payments'!G$19</f>
        <v>1958.2046045184447</v>
      </c>
      <c r="J163" s="9">
        <f>$B163*'Kroger Payments'!H$19</f>
        <v>1958.2046045184447</v>
      </c>
      <c r="K163" s="9">
        <f>$B163*'Kroger Payments'!I$19</f>
        <v>1958.2046045184447</v>
      </c>
      <c r="L163" s="9">
        <f>$B163*'Kroger Payments'!J$19</f>
        <v>2061.2680047562576</v>
      </c>
      <c r="M163" s="9">
        <f>$B163*'Kroger Payments'!K$19</f>
        <v>2061.2680047562576</v>
      </c>
      <c r="N163" s="9">
        <f>$B163*'Kroger Payments'!L$19</f>
        <v>2061.2680047562576</v>
      </c>
      <c r="O163" s="9">
        <f>$B163*'Kroger Payments'!M$19</f>
        <v>2061.2680049452074</v>
      </c>
      <c r="P163" s="7">
        <f t="shared" si="5"/>
        <v>21952.504250843092</v>
      </c>
    </row>
    <row r="164" spans="1:16" x14ac:dyDescent="0.35">
      <c r="A164" s="3" t="s">
        <v>34</v>
      </c>
      <c r="B164" s="16">
        <v>1.443184148E-3</v>
      </c>
      <c r="C164" s="8" t="s">
        <v>189</v>
      </c>
      <c r="D164" s="8" t="str">
        <f t="shared" si="6"/>
        <v>No</v>
      </c>
      <c r="E164" s="9">
        <f>$B164*'Kroger Payments'!C$19</f>
        <v>2612.037896886281</v>
      </c>
      <c r="F164" s="9">
        <f>$B164*'Kroger Payments'!D$19</f>
        <v>2612.037896886281</v>
      </c>
      <c r="G164" s="9">
        <f>$B164*'Kroger Payments'!E$19</f>
        <v>2612.037896886281</v>
      </c>
      <c r="H164" s="9">
        <f>$B164*'Kroger Payments'!F$19</f>
        <v>2612.037896886281</v>
      </c>
      <c r="I164" s="9">
        <f>$B164*'Kroger Payments'!G$19</f>
        <v>2612.037896886281</v>
      </c>
      <c r="J164" s="9">
        <f>$B164*'Kroger Payments'!H$19</f>
        <v>2612.037896886281</v>
      </c>
      <c r="K164" s="9">
        <f>$B164*'Kroger Payments'!I$19</f>
        <v>2612.037896886281</v>
      </c>
      <c r="L164" s="9">
        <f>$B164*'Kroger Payments'!J$19</f>
        <v>2749.5135756697696</v>
      </c>
      <c r="M164" s="9">
        <f>$B164*'Kroger Payments'!K$19</f>
        <v>2749.5135756697696</v>
      </c>
      <c r="N164" s="9">
        <f>$B164*'Kroger Payments'!L$19</f>
        <v>2749.5135756697696</v>
      </c>
      <c r="O164" s="9">
        <f>$B164*'Kroger Payments'!M$19</f>
        <v>2749.5135759218083</v>
      </c>
      <c r="P164" s="7">
        <f t="shared" si="5"/>
        <v>29282.319581135089</v>
      </c>
    </row>
    <row r="165" spans="1:16" x14ac:dyDescent="0.35">
      <c r="A165" s="3" t="s">
        <v>190</v>
      </c>
      <c r="B165" s="16">
        <v>3.1209537979999999E-3</v>
      </c>
      <c r="C165" s="8" t="s">
        <v>190</v>
      </c>
      <c r="D165" s="8" t="str">
        <f t="shared" si="6"/>
        <v>No</v>
      </c>
      <c r="E165" s="9">
        <f>$B165*'Kroger Payments'!C$19</f>
        <v>5648.6551671901889</v>
      </c>
      <c r="F165" s="9">
        <f>$B165*'Kroger Payments'!D$19</f>
        <v>5648.6551671901889</v>
      </c>
      <c r="G165" s="9">
        <f>$B165*'Kroger Payments'!E$19</f>
        <v>5648.6551671901889</v>
      </c>
      <c r="H165" s="9">
        <f>$B165*'Kroger Payments'!F$19</f>
        <v>5648.6551671901889</v>
      </c>
      <c r="I165" s="9">
        <f>$B165*'Kroger Payments'!G$19</f>
        <v>5648.6551671901889</v>
      </c>
      <c r="J165" s="9">
        <f>$B165*'Kroger Payments'!H$19</f>
        <v>5648.6551671901889</v>
      </c>
      <c r="K165" s="9">
        <f>$B165*'Kroger Payments'!I$19</f>
        <v>5648.6551671901889</v>
      </c>
      <c r="L165" s="9">
        <f>$B165*'Kroger Payments'!J$19</f>
        <v>5945.9528075686203</v>
      </c>
      <c r="M165" s="9">
        <f>$B165*'Kroger Payments'!K$19</f>
        <v>5945.9528075686203</v>
      </c>
      <c r="N165" s="9">
        <f>$B165*'Kroger Payments'!L$19</f>
        <v>5945.9528075686203</v>
      </c>
      <c r="O165" s="9">
        <f>$B165*'Kroger Payments'!M$19</f>
        <v>5945.9528081136659</v>
      </c>
      <c r="P165" s="7">
        <f t="shared" si="5"/>
        <v>63324.397401150847</v>
      </c>
    </row>
    <row r="166" spans="1:16" x14ac:dyDescent="0.35">
      <c r="A166" s="3" t="s">
        <v>60</v>
      </c>
      <c r="B166" s="16">
        <v>1.9885760000000001E-6</v>
      </c>
      <c r="C166" s="8" t="s">
        <v>191</v>
      </c>
      <c r="D166" s="8" t="str">
        <f t="shared" si="6"/>
        <v>Yes</v>
      </c>
      <c r="E166" s="9">
        <f>$B166*'Kroger Payments'!C$19</f>
        <v>3.5991497551000911</v>
      </c>
      <c r="F166" s="9">
        <f>$B166*'Kroger Payments'!D$19</f>
        <v>3.5991497551000911</v>
      </c>
      <c r="G166" s="9">
        <f>$B166*'Kroger Payments'!E$19</f>
        <v>3.5991497551000911</v>
      </c>
      <c r="H166" s="9">
        <f>$B166*'Kroger Payments'!F$19</f>
        <v>3.5991497551000911</v>
      </c>
      <c r="I166" s="9">
        <f>$B166*'Kroger Payments'!G$19</f>
        <v>3.5991497551000911</v>
      </c>
      <c r="J166" s="9">
        <f>$B166*'Kroger Payments'!H$19</f>
        <v>3.5991497551000911</v>
      </c>
      <c r="K166" s="9">
        <f>$B166*'Kroger Payments'!I$19</f>
        <v>3.5991497551000911</v>
      </c>
      <c r="L166" s="9">
        <f>$B166*'Kroger Payments'!J$19</f>
        <v>3.788578689579043</v>
      </c>
      <c r="M166" s="9">
        <f>$B166*'Kroger Payments'!K$19</f>
        <v>3.788578689579043</v>
      </c>
      <c r="N166" s="9">
        <f>$B166*'Kroger Payments'!L$19</f>
        <v>3.788578689579043</v>
      </c>
      <c r="O166" s="9">
        <f>$B166*'Kroger Payments'!M$19</f>
        <v>3.7885786899263296</v>
      </c>
      <c r="P166" s="7">
        <f t="shared" si="5"/>
        <v>40.348363044364092</v>
      </c>
    </row>
    <row r="167" spans="1:16" x14ac:dyDescent="0.35">
      <c r="A167" s="3" t="s">
        <v>192</v>
      </c>
      <c r="B167" s="16">
        <v>3.1347661300000002E-4</v>
      </c>
      <c r="C167" s="8" t="s">
        <v>193</v>
      </c>
      <c r="D167" s="8" t="str">
        <f t="shared" si="6"/>
        <v>No</v>
      </c>
      <c r="E167" s="9">
        <f>$B167*'Kroger Payments'!C$19</f>
        <v>567.36542878348928</v>
      </c>
      <c r="F167" s="9">
        <f>$B167*'Kroger Payments'!D$19</f>
        <v>567.36542878348928</v>
      </c>
      <c r="G167" s="9">
        <f>$B167*'Kroger Payments'!E$19</f>
        <v>567.36542878348928</v>
      </c>
      <c r="H167" s="9">
        <f>$B167*'Kroger Payments'!F$19</f>
        <v>567.36542878348928</v>
      </c>
      <c r="I167" s="9">
        <f>$B167*'Kroger Payments'!G$19</f>
        <v>567.36542878348928</v>
      </c>
      <c r="J167" s="9">
        <f>$B167*'Kroger Payments'!H$19</f>
        <v>567.36542878348928</v>
      </c>
      <c r="K167" s="9">
        <f>$B167*'Kroger Payments'!I$19</f>
        <v>567.36542878348928</v>
      </c>
      <c r="L167" s="9">
        <f>$B167*'Kroger Payments'!J$19</f>
        <v>597.22676714051511</v>
      </c>
      <c r="M167" s="9">
        <f>$B167*'Kroger Payments'!K$19</f>
        <v>597.22676714051511</v>
      </c>
      <c r="N167" s="9">
        <f>$B167*'Kroger Payments'!L$19</f>
        <v>597.22676714051511</v>
      </c>
      <c r="O167" s="9">
        <f>$B167*'Kroger Payments'!M$19</f>
        <v>597.22676719526078</v>
      </c>
      <c r="P167" s="7">
        <f t="shared" si="5"/>
        <v>6360.4650701012306</v>
      </c>
    </row>
    <row r="168" spans="1:16" x14ac:dyDescent="0.35">
      <c r="A168" s="3" t="s">
        <v>192</v>
      </c>
      <c r="B168" s="16">
        <v>5.3886376719999999E-3</v>
      </c>
      <c r="C168" s="8" t="s">
        <v>192</v>
      </c>
      <c r="D168" s="8" t="str">
        <f t="shared" si="6"/>
        <v>No</v>
      </c>
      <c r="E168" s="9">
        <f>$B168*'Kroger Payments'!C$19</f>
        <v>9752.9659200864953</v>
      </c>
      <c r="F168" s="9">
        <f>$B168*'Kroger Payments'!D$19</f>
        <v>9752.9659200864953</v>
      </c>
      <c r="G168" s="9">
        <f>$B168*'Kroger Payments'!E$19</f>
        <v>9752.9659200864953</v>
      </c>
      <c r="H168" s="9">
        <f>$B168*'Kroger Payments'!F$19</f>
        <v>9752.9659200864953</v>
      </c>
      <c r="I168" s="9">
        <f>$B168*'Kroger Payments'!G$19</f>
        <v>9752.9659200864953</v>
      </c>
      <c r="J168" s="9">
        <f>$B168*'Kroger Payments'!H$19</f>
        <v>9752.9659200864953</v>
      </c>
      <c r="K168" s="9">
        <f>$B168*'Kroger Payments'!I$19</f>
        <v>9752.9659200864953</v>
      </c>
      <c r="L168" s="9">
        <f>$B168*'Kroger Payments'!J$19</f>
        <v>10266.279915880521</v>
      </c>
      <c r="M168" s="9">
        <f>$B168*'Kroger Payments'!K$19</f>
        <v>10266.279915880521</v>
      </c>
      <c r="N168" s="9">
        <f>$B168*'Kroger Payments'!L$19</f>
        <v>10266.279915880521</v>
      </c>
      <c r="O168" s="9">
        <f>$B168*'Kroger Payments'!M$19</f>
        <v>10266.279916821597</v>
      </c>
      <c r="P168" s="7">
        <f t="shared" si="5"/>
        <v>109335.88110506866</v>
      </c>
    </row>
    <row r="169" spans="1:16" x14ac:dyDescent="0.35">
      <c r="A169" s="3" t="s">
        <v>194</v>
      </c>
      <c r="B169" s="16">
        <v>2.4872949209999999E-3</v>
      </c>
      <c r="C169" s="8" t="s">
        <v>194</v>
      </c>
      <c r="D169" s="8" t="str">
        <f t="shared" si="6"/>
        <v>No</v>
      </c>
      <c r="E169" s="9">
        <f>$B169*'Kroger Payments'!C$19</f>
        <v>4501.787664026343</v>
      </c>
      <c r="F169" s="9">
        <f>$B169*'Kroger Payments'!D$19</f>
        <v>4501.787664026343</v>
      </c>
      <c r="G169" s="9">
        <f>$B169*'Kroger Payments'!E$19</f>
        <v>4501.787664026343</v>
      </c>
      <c r="H169" s="9">
        <f>$B169*'Kroger Payments'!F$19</f>
        <v>4501.787664026343</v>
      </c>
      <c r="I169" s="9">
        <f>$B169*'Kroger Payments'!G$19</f>
        <v>4501.787664026343</v>
      </c>
      <c r="J169" s="9">
        <f>$B169*'Kroger Payments'!H$19</f>
        <v>4501.787664026343</v>
      </c>
      <c r="K169" s="9">
        <f>$B169*'Kroger Payments'!I$19</f>
        <v>4501.787664026343</v>
      </c>
      <c r="L169" s="9">
        <f>$B169*'Kroger Payments'!J$19</f>
        <v>4738.7238568698349</v>
      </c>
      <c r="M169" s="9">
        <f>$B169*'Kroger Payments'!K$19</f>
        <v>4738.7238568698349</v>
      </c>
      <c r="N169" s="9">
        <f>$B169*'Kroger Payments'!L$19</f>
        <v>4738.7238568698349</v>
      </c>
      <c r="O169" s="9">
        <f>$B169*'Kroger Payments'!M$19</f>
        <v>4738.7238573042177</v>
      </c>
      <c r="P169" s="7">
        <f t="shared" si="5"/>
        <v>50467.409076098127</v>
      </c>
    </row>
    <row r="170" spans="1:16" x14ac:dyDescent="0.35">
      <c r="A170" s="3" t="s">
        <v>52</v>
      </c>
      <c r="B170" s="16">
        <v>3.3213551220000002E-3</v>
      </c>
      <c r="C170" s="8" t="s">
        <v>52</v>
      </c>
      <c r="D170" s="8" t="str">
        <f t="shared" si="6"/>
        <v>No</v>
      </c>
      <c r="E170" s="9">
        <f>$B170*'Kroger Payments'!C$19</f>
        <v>6011.3641489924112</v>
      </c>
      <c r="F170" s="9">
        <f>$B170*'Kroger Payments'!D$19</f>
        <v>6011.3641489924112</v>
      </c>
      <c r="G170" s="9">
        <f>$B170*'Kroger Payments'!E$19</f>
        <v>6011.3641489924112</v>
      </c>
      <c r="H170" s="9">
        <f>$B170*'Kroger Payments'!F$19</f>
        <v>6011.3641489924112</v>
      </c>
      <c r="I170" s="9">
        <f>$B170*'Kroger Payments'!G$19</f>
        <v>6011.3641489924112</v>
      </c>
      <c r="J170" s="9">
        <f>$B170*'Kroger Payments'!H$19</f>
        <v>6011.3641489924112</v>
      </c>
      <c r="K170" s="9">
        <f>$B170*'Kroger Payments'!I$19</f>
        <v>6011.3641489924112</v>
      </c>
      <c r="L170" s="9">
        <f>$B170*'Kroger Payments'!J$19</f>
        <v>6327.751735781485</v>
      </c>
      <c r="M170" s="9">
        <f>$B170*'Kroger Payments'!K$19</f>
        <v>6327.751735781485</v>
      </c>
      <c r="N170" s="9">
        <f>$B170*'Kroger Payments'!L$19</f>
        <v>6327.751735781485</v>
      </c>
      <c r="O170" s="9">
        <f>$B170*'Kroger Payments'!M$19</f>
        <v>6327.7517363615289</v>
      </c>
      <c r="P170" s="7">
        <f t="shared" si="5"/>
        <v>67390.555986652864</v>
      </c>
    </row>
    <row r="171" spans="1:16" x14ac:dyDescent="0.35">
      <c r="A171" s="3" t="s">
        <v>22</v>
      </c>
      <c r="B171" s="16">
        <v>5.1969810399999999E-4</v>
      </c>
      <c r="C171" s="8" t="s">
        <v>195</v>
      </c>
      <c r="D171" s="8" t="str">
        <f t="shared" si="6"/>
        <v>No</v>
      </c>
      <c r="E171" s="9">
        <f>$B171*'Kroger Payments'!C$19</f>
        <v>940.60840709008926</v>
      </c>
      <c r="F171" s="9">
        <f>$B171*'Kroger Payments'!D$19</f>
        <v>940.60840709008926</v>
      </c>
      <c r="G171" s="9">
        <f>$B171*'Kroger Payments'!E$19</f>
        <v>940.60840709008926</v>
      </c>
      <c r="H171" s="9">
        <f>$B171*'Kroger Payments'!F$19</f>
        <v>940.60840709008926</v>
      </c>
      <c r="I171" s="9">
        <f>$B171*'Kroger Payments'!G$19</f>
        <v>940.60840709008926</v>
      </c>
      <c r="J171" s="9">
        <f>$B171*'Kroger Payments'!H$19</f>
        <v>940.60840709008926</v>
      </c>
      <c r="K171" s="9">
        <f>$B171*'Kroger Payments'!I$19</f>
        <v>940.60840709008926</v>
      </c>
      <c r="L171" s="9">
        <f>$B171*'Kroger Payments'!J$19</f>
        <v>990.11411272640987</v>
      </c>
      <c r="M171" s="9">
        <f>$B171*'Kroger Payments'!K$19</f>
        <v>990.11411272640987</v>
      </c>
      <c r="N171" s="9">
        <f>$B171*'Kroger Payments'!L$19</f>
        <v>990.11411272640987</v>
      </c>
      <c r="O171" s="9">
        <f>$B171*'Kroger Payments'!M$19</f>
        <v>990.11411281717028</v>
      </c>
      <c r="P171" s="7">
        <f t="shared" si="5"/>
        <v>10544.715300627024</v>
      </c>
    </row>
    <row r="172" spans="1:16" x14ac:dyDescent="0.35">
      <c r="A172" s="3" t="s">
        <v>196</v>
      </c>
      <c r="B172" s="16">
        <v>1.5801798059999999E-3</v>
      </c>
      <c r="C172" s="8" t="s">
        <v>196</v>
      </c>
      <c r="D172" s="8" t="str">
        <f t="shared" si="6"/>
        <v>No</v>
      </c>
      <c r="E172" s="9">
        <f>$B172*'Kroger Payments'!C$19</f>
        <v>2859.9881331058045</v>
      </c>
      <c r="F172" s="9">
        <f>$B172*'Kroger Payments'!D$19</f>
        <v>2859.9881331058045</v>
      </c>
      <c r="G172" s="9">
        <f>$B172*'Kroger Payments'!E$19</f>
        <v>2859.9881331058045</v>
      </c>
      <c r="H172" s="9">
        <f>$B172*'Kroger Payments'!F$19</f>
        <v>2859.9881331058045</v>
      </c>
      <c r="I172" s="9">
        <f>$B172*'Kroger Payments'!G$19</f>
        <v>2859.9881331058045</v>
      </c>
      <c r="J172" s="9">
        <f>$B172*'Kroger Payments'!H$19</f>
        <v>2859.9881331058045</v>
      </c>
      <c r="K172" s="9">
        <f>$B172*'Kroger Payments'!I$19</f>
        <v>2859.9881331058045</v>
      </c>
      <c r="L172" s="9">
        <f>$B172*'Kroger Payments'!J$19</f>
        <v>3010.5138243218998</v>
      </c>
      <c r="M172" s="9">
        <f>$B172*'Kroger Payments'!K$19</f>
        <v>3010.5138243218998</v>
      </c>
      <c r="N172" s="9">
        <f>$B172*'Kroger Payments'!L$19</f>
        <v>3010.5138243218998</v>
      </c>
      <c r="O172" s="9">
        <f>$B172*'Kroger Payments'!M$19</f>
        <v>3010.5138245978633</v>
      </c>
      <c r="P172" s="7">
        <f t="shared" si="5"/>
        <v>32061.9722293042</v>
      </c>
    </row>
    <row r="173" spans="1:16" x14ac:dyDescent="0.35">
      <c r="A173" s="3" t="s">
        <v>90</v>
      </c>
      <c r="B173" s="16">
        <v>7.0802740199999998E-4</v>
      </c>
      <c r="C173" s="8" t="s">
        <v>197</v>
      </c>
      <c r="D173" s="8" t="str">
        <f t="shared" si="6"/>
        <v>No</v>
      </c>
      <c r="E173" s="9">
        <f>$B173*'Kroger Payments'!C$19</f>
        <v>1281.4680708770766</v>
      </c>
      <c r="F173" s="9">
        <f>$B173*'Kroger Payments'!D$19</f>
        <v>1281.4680708770766</v>
      </c>
      <c r="G173" s="9">
        <f>$B173*'Kroger Payments'!E$19</f>
        <v>1281.4680708770766</v>
      </c>
      <c r="H173" s="9">
        <f>$B173*'Kroger Payments'!F$19</f>
        <v>1281.4680708770766</v>
      </c>
      <c r="I173" s="9">
        <f>$B173*'Kroger Payments'!G$19</f>
        <v>1281.4680708770766</v>
      </c>
      <c r="J173" s="9">
        <f>$B173*'Kroger Payments'!H$19</f>
        <v>1281.4680708770766</v>
      </c>
      <c r="K173" s="9">
        <f>$B173*'Kroger Payments'!I$19</f>
        <v>1281.4680708770766</v>
      </c>
      <c r="L173" s="9">
        <f>$B173*'Kroger Payments'!J$19</f>
        <v>1348.9137588179753</v>
      </c>
      <c r="M173" s="9">
        <f>$B173*'Kroger Payments'!K$19</f>
        <v>1348.9137588179753</v>
      </c>
      <c r="N173" s="9">
        <f>$B173*'Kroger Payments'!L$19</f>
        <v>1348.9137588179753</v>
      </c>
      <c r="O173" s="9">
        <f>$B173*'Kroger Payments'!M$19</f>
        <v>1348.9137589416257</v>
      </c>
      <c r="P173" s="7">
        <f t="shared" si="5"/>
        <v>14365.931531535087</v>
      </c>
    </row>
    <row r="174" spans="1:16" x14ac:dyDescent="0.35">
      <c r="A174" s="3" t="s">
        <v>198</v>
      </c>
      <c r="B174" s="16">
        <v>3.0230714719999999E-3</v>
      </c>
      <c r="C174" s="8" t="s">
        <v>199</v>
      </c>
      <c r="D174" s="8" t="str">
        <f t="shared" si="6"/>
        <v>No</v>
      </c>
      <c r="E174" s="9">
        <f>$B174*'Kroger Payments'!C$19</f>
        <v>5471.4966629884248</v>
      </c>
      <c r="F174" s="9">
        <f>$B174*'Kroger Payments'!D$19</f>
        <v>5471.4966629884248</v>
      </c>
      <c r="G174" s="9">
        <f>$B174*'Kroger Payments'!E$19</f>
        <v>5471.4966629884248</v>
      </c>
      <c r="H174" s="9">
        <f>$B174*'Kroger Payments'!F$19</f>
        <v>5471.4966629884248</v>
      </c>
      <c r="I174" s="9">
        <f>$B174*'Kroger Payments'!G$19</f>
        <v>5471.4966629884248</v>
      </c>
      <c r="J174" s="9">
        <f>$B174*'Kroger Payments'!H$19</f>
        <v>5471.4966629884248</v>
      </c>
      <c r="K174" s="9">
        <f>$B174*'Kroger Payments'!I$19</f>
        <v>5471.4966629884248</v>
      </c>
      <c r="L174" s="9">
        <f>$B174*'Kroger Payments'!J$19</f>
        <v>5759.4701715667634</v>
      </c>
      <c r="M174" s="9">
        <f>$B174*'Kroger Payments'!K$19</f>
        <v>5759.4701715667634</v>
      </c>
      <c r="N174" s="9">
        <f>$B174*'Kroger Payments'!L$19</f>
        <v>5759.4701715667634</v>
      </c>
      <c r="O174" s="9">
        <f>$B174*'Kroger Payments'!M$19</f>
        <v>5759.4701720947151</v>
      </c>
      <c r="P174" s="7">
        <f t="shared" si="5"/>
        <v>61338.357327713966</v>
      </c>
    </row>
    <row r="175" spans="1:16" x14ac:dyDescent="0.35">
      <c r="A175" s="3" t="s">
        <v>200</v>
      </c>
      <c r="B175" s="16">
        <v>5.3847032580000001E-3</v>
      </c>
      <c r="C175" s="8" t="s">
        <v>200</v>
      </c>
      <c r="D175" s="8" t="str">
        <f t="shared" si="6"/>
        <v>No</v>
      </c>
      <c r="E175" s="9">
        <f>$B175*'Kroger Payments'!C$19</f>
        <v>9745.8449726424133</v>
      </c>
      <c r="F175" s="9">
        <f>$B175*'Kroger Payments'!D$19</f>
        <v>9745.8449726424133</v>
      </c>
      <c r="G175" s="9">
        <f>$B175*'Kroger Payments'!E$19</f>
        <v>9745.8449726424133</v>
      </c>
      <c r="H175" s="9">
        <f>$B175*'Kroger Payments'!F$19</f>
        <v>9745.8449726424133</v>
      </c>
      <c r="I175" s="9">
        <f>$B175*'Kroger Payments'!G$19</f>
        <v>9745.8449726424133</v>
      </c>
      <c r="J175" s="9">
        <f>$B175*'Kroger Payments'!H$19</f>
        <v>9745.8449726424133</v>
      </c>
      <c r="K175" s="9">
        <f>$B175*'Kroger Payments'!I$19</f>
        <v>9745.8449726424133</v>
      </c>
      <c r="L175" s="9">
        <f>$B175*'Kroger Payments'!J$19</f>
        <v>10258.784181728857</v>
      </c>
      <c r="M175" s="9">
        <f>$B175*'Kroger Payments'!K$19</f>
        <v>10258.784181728857</v>
      </c>
      <c r="N175" s="9">
        <f>$B175*'Kroger Payments'!L$19</f>
        <v>10258.784181728857</v>
      </c>
      <c r="O175" s="9">
        <f>$B175*'Kroger Payments'!M$19</f>
        <v>10258.784182669246</v>
      </c>
      <c r="P175" s="7">
        <f t="shared" si="5"/>
        <v>109256.05153635271</v>
      </c>
    </row>
    <row r="176" spans="1:16" x14ac:dyDescent="0.35">
      <c r="A176" s="3" t="s">
        <v>34</v>
      </c>
      <c r="B176" s="16">
        <v>6.4275489000000001E-5</v>
      </c>
      <c r="C176" s="8" t="s">
        <v>201</v>
      </c>
      <c r="D176" s="8" t="str">
        <f t="shared" si="6"/>
        <v>No</v>
      </c>
      <c r="E176" s="9">
        <f>$B176*'Kroger Payments'!C$19</f>
        <v>116.33304962610862</v>
      </c>
      <c r="F176" s="9">
        <f>$B176*'Kroger Payments'!D$19</f>
        <v>116.33304962610862</v>
      </c>
      <c r="G176" s="9">
        <f>$B176*'Kroger Payments'!E$19</f>
        <v>116.33304962610862</v>
      </c>
      <c r="H176" s="9">
        <f>$B176*'Kroger Payments'!F$19</f>
        <v>116.33304962610862</v>
      </c>
      <c r="I176" s="9">
        <f>$B176*'Kroger Payments'!G$19</f>
        <v>116.33304962610862</v>
      </c>
      <c r="J176" s="9">
        <f>$B176*'Kroger Payments'!H$19</f>
        <v>116.33304962610862</v>
      </c>
      <c r="K176" s="9">
        <f>$B176*'Kroger Payments'!I$19</f>
        <v>116.33304962610862</v>
      </c>
      <c r="L176" s="9">
        <f>$B176*'Kroger Payments'!J$19</f>
        <v>122.4558417116933</v>
      </c>
      <c r="M176" s="9">
        <f>$B176*'Kroger Payments'!K$19</f>
        <v>122.4558417116933</v>
      </c>
      <c r="N176" s="9">
        <f>$B176*'Kroger Payments'!L$19</f>
        <v>122.4558417116933</v>
      </c>
      <c r="O176" s="9">
        <f>$B176*'Kroger Payments'!M$19</f>
        <v>122.45584172291841</v>
      </c>
      <c r="P176" s="7">
        <f t="shared" si="5"/>
        <v>1304.1547142407585</v>
      </c>
    </row>
    <row r="177" spans="1:16" x14ac:dyDescent="0.35">
      <c r="A177" s="3" t="s">
        <v>202</v>
      </c>
      <c r="B177" s="16">
        <v>1.0028154579999999E-3</v>
      </c>
      <c r="C177" s="8" t="s">
        <v>202</v>
      </c>
      <c r="D177" s="8" t="str">
        <f t="shared" si="6"/>
        <v>No</v>
      </c>
      <c r="E177" s="9">
        <f>$B177*'Kroger Payments'!C$19</f>
        <v>1815.0088355040416</v>
      </c>
      <c r="F177" s="9">
        <f>$B177*'Kroger Payments'!D$19</f>
        <v>1815.0088355040416</v>
      </c>
      <c r="G177" s="9">
        <f>$B177*'Kroger Payments'!E$19</f>
        <v>1815.0088355040416</v>
      </c>
      <c r="H177" s="9">
        <f>$B177*'Kroger Payments'!F$19</f>
        <v>1815.0088355040416</v>
      </c>
      <c r="I177" s="9">
        <f>$B177*'Kroger Payments'!G$19</f>
        <v>1815.0088355040416</v>
      </c>
      <c r="J177" s="9">
        <f>$B177*'Kroger Payments'!H$19</f>
        <v>1815.0088355040416</v>
      </c>
      <c r="K177" s="9">
        <f>$B177*'Kroger Payments'!I$19</f>
        <v>1815.0088355040416</v>
      </c>
      <c r="L177" s="9">
        <f>$B177*'Kroger Payments'!J$19</f>
        <v>1910.5356163200438</v>
      </c>
      <c r="M177" s="9">
        <f>$B177*'Kroger Payments'!K$19</f>
        <v>1910.5356163200438</v>
      </c>
      <c r="N177" s="9">
        <f>$B177*'Kroger Payments'!L$19</f>
        <v>1910.5356163200438</v>
      </c>
      <c r="O177" s="9">
        <f>$B177*'Kroger Payments'!M$19</f>
        <v>1910.5356164951761</v>
      </c>
      <c r="P177" s="7">
        <f t="shared" si="5"/>
        <v>20347.204313983602</v>
      </c>
    </row>
    <row r="178" spans="1:16" x14ac:dyDescent="0.35">
      <c r="A178" s="3" t="s">
        <v>36</v>
      </c>
      <c r="B178" s="16">
        <v>4.4174736000000001E-5</v>
      </c>
      <c r="C178" s="8" t="s">
        <v>203</v>
      </c>
      <c r="D178" s="8" t="str">
        <f t="shared" si="6"/>
        <v>No</v>
      </c>
      <c r="E178" s="9">
        <f>$B178*'Kroger Payments'!C$19</f>
        <v>79.952433427744865</v>
      </c>
      <c r="F178" s="9">
        <f>$B178*'Kroger Payments'!D$19</f>
        <v>79.952433427744865</v>
      </c>
      <c r="G178" s="9">
        <f>$B178*'Kroger Payments'!E$19</f>
        <v>79.952433427744865</v>
      </c>
      <c r="H178" s="9">
        <f>$B178*'Kroger Payments'!F$19</f>
        <v>79.952433427744865</v>
      </c>
      <c r="I178" s="9">
        <f>$B178*'Kroger Payments'!G$19</f>
        <v>79.952433427744865</v>
      </c>
      <c r="J178" s="9">
        <f>$B178*'Kroger Payments'!H$19</f>
        <v>79.952433427744865</v>
      </c>
      <c r="K178" s="9">
        <f>$B178*'Kroger Payments'!I$19</f>
        <v>79.952433427744865</v>
      </c>
      <c r="L178" s="9">
        <f>$B178*'Kroger Payments'!J$19</f>
        <v>84.160456239731431</v>
      </c>
      <c r="M178" s="9">
        <f>$B178*'Kroger Payments'!K$19</f>
        <v>84.160456239731431</v>
      </c>
      <c r="N178" s="9">
        <f>$B178*'Kroger Payments'!L$19</f>
        <v>84.160456239731431</v>
      </c>
      <c r="O178" s="9">
        <f>$B178*'Kroger Payments'!M$19</f>
        <v>84.160456247446135</v>
      </c>
      <c r="P178" s="7">
        <f t="shared" si="5"/>
        <v>896.30885896085431</v>
      </c>
    </row>
    <row r="179" spans="1:16" x14ac:dyDescent="0.35">
      <c r="A179" s="3" t="s">
        <v>45</v>
      </c>
      <c r="B179" s="16">
        <v>1.19729252E-4</v>
      </c>
      <c r="C179" s="8" t="s">
        <v>204</v>
      </c>
      <c r="D179" s="8" t="str">
        <f t="shared" si="6"/>
        <v>No</v>
      </c>
      <c r="E179" s="9">
        <f>$B179*'Kroger Payments'!C$19</f>
        <v>216.69954178976164</v>
      </c>
      <c r="F179" s="9">
        <f>$B179*'Kroger Payments'!D$19</f>
        <v>216.69954178976164</v>
      </c>
      <c r="G179" s="9">
        <f>$B179*'Kroger Payments'!E$19</f>
        <v>216.69954178976164</v>
      </c>
      <c r="H179" s="9">
        <f>$B179*'Kroger Payments'!F$19</f>
        <v>216.69954178976164</v>
      </c>
      <c r="I179" s="9">
        <f>$B179*'Kroger Payments'!G$19</f>
        <v>216.69954178976164</v>
      </c>
      <c r="J179" s="9">
        <f>$B179*'Kroger Payments'!H$19</f>
        <v>216.69954178976164</v>
      </c>
      <c r="K179" s="9">
        <f>$B179*'Kroger Payments'!I$19</f>
        <v>216.69954178976164</v>
      </c>
      <c r="L179" s="9">
        <f>$B179*'Kroger Payments'!J$19</f>
        <v>228.10478083132804</v>
      </c>
      <c r="M179" s="9">
        <f>$B179*'Kroger Payments'!K$19</f>
        <v>228.10478083132804</v>
      </c>
      <c r="N179" s="9">
        <f>$B179*'Kroger Payments'!L$19</f>
        <v>228.10478083132804</v>
      </c>
      <c r="O179" s="9">
        <f>$B179*'Kroger Payments'!M$19</f>
        <v>228.10478085223764</v>
      </c>
      <c r="P179" s="7">
        <f t="shared" si="5"/>
        <v>2429.3159158745534</v>
      </c>
    </row>
    <row r="180" spans="1:16" x14ac:dyDescent="0.35">
      <c r="A180" s="3" t="s">
        <v>45</v>
      </c>
      <c r="B180" s="16">
        <v>2.1019379789999999E-3</v>
      </c>
      <c r="C180" s="8" t="s">
        <v>205</v>
      </c>
      <c r="D180" s="8" t="str">
        <f t="shared" si="6"/>
        <v>No</v>
      </c>
      <c r="E180" s="9">
        <f>$B180*'Kroger Payments'!C$19</f>
        <v>3804.325086068337</v>
      </c>
      <c r="F180" s="9">
        <f>$B180*'Kroger Payments'!D$19</f>
        <v>3804.325086068337</v>
      </c>
      <c r="G180" s="9">
        <f>$B180*'Kroger Payments'!E$19</f>
        <v>3804.325086068337</v>
      </c>
      <c r="H180" s="9">
        <f>$B180*'Kroger Payments'!F$19</f>
        <v>3804.325086068337</v>
      </c>
      <c r="I180" s="9">
        <f>$B180*'Kroger Payments'!G$19</f>
        <v>3804.325086068337</v>
      </c>
      <c r="J180" s="9">
        <f>$B180*'Kroger Payments'!H$19</f>
        <v>3804.325086068337</v>
      </c>
      <c r="K180" s="9">
        <f>$B180*'Kroger Payments'!I$19</f>
        <v>3804.325086068337</v>
      </c>
      <c r="L180" s="9">
        <f>$B180*'Kroger Payments'!J$19</f>
        <v>4004.5527221771968</v>
      </c>
      <c r="M180" s="9">
        <f>$B180*'Kroger Payments'!K$19</f>
        <v>4004.5527221771968</v>
      </c>
      <c r="N180" s="9">
        <f>$B180*'Kroger Payments'!L$19</f>
        <v>4004.5527221771968</v>
      </c>
      <c r="O180" s="9">
        <f>$B180*'Kroger Payments'!M$19</f>
        <v>4004.5527225442806</v>
      </c>
      <c r="P180" s="7">
        <f t="shared" si="5"/>
        <v>42648.486491554228</v>
      </c>
    </row>
    <row r="181" spans="1:16" x14ac:dyDescent="0.35">
      <c r="A181" s="3" t="s">
        <v>45</v>
      </c>
      <c r="B181" s="16">
        <v>1.5316423152E-2</v>
      </c>
      <c r="C181" s="8" t="s">
        <v>45</v>
      </c>
      <c r="D181" s="8" t="str">
        <f t="shared" si="6"/>
        <v>No</v>
      </c>
      <c r="E181" s="9">
        <f>$B181*'Kroger Payments'!C$19</f>
        <v>27721.394926082867</v>
      </c>
      <c r="F181" s="9">
        <f>$B181*'Kroger Payments'!D$19</f>
        <v>27721.394926082867</v>
      </c>
      <c r="G181" s="9">
        <f>$B181*'Kroger Payments'!E$19</f>
        <v>27721.394926082867</v>
      </c>
      <c r="H181" s="9">
        <f>$B181*'Kroger Payments'!F$19</f>
        <v>27721.394926082867</v>
      </c>
      <c r="I181" s="9">
        <f>$B181*'Kroger Payments'!G$19</f>
        <v>27721.394926082867</v>
      </c>
      <c r="J181" s="9">
        <f>$B181*'Kroger Payments'!H$19</f>
        <v>27721.394926082867</v>
      </c>
      <c r="K181" s="9">
        <f>$B181*'Kroger Payments'!I$19</f>
        <v>27721.394926082867</v>
      </c>
      <c r="L181" s="9">
        <f>$B181*'Kroger Payments'!J$19</f>
        <v>29180.415711666174</v>
      </c>
      <c r="M181" s="9">
        <f>$B181*'Kroger Payments'!K$19</f>
        <v>29180.415711666174</v>
      </c>
      <c r="N181" s="9">
        <f>$B181*'Kroger Payments'!L$19</f>
        <v>29180.415711666174</v>
      </c>
      <c r="O181" s="9">
        <f>$B181*'Kroger Payments'!M$19</f>
        <v>29180.415714341045</v>
      </c>
      <c r="P181" s="7">
        <f t="shared" si="5"/>
        <v>310771.42733191961</v>
      </c>
    </row>
    <row r="182" spans="1:16" x14ac:dyDescent="0.35">
      <c r="A182" s="3" t="s">
        <v>206</v>
      </c>
      <c r="B182" s="16">
        <v>6.2123519000000004E-3</v>
      </c>
      <c r="C182" s="8" t="s">
        <v>206</v>
      </c>
      <c r="D182" s="8" t="str">
        <f t="shared" si="6"/>
        <v>No</v>
      </c>
      <c r="E182" s="9">
        <f>$B182*'Kroger Payments'!C$19</f>
        <v>11243.817092975367</v>
      </c>
      <c r="F182" s="9">
        <f>$B182*'Kroger Payments'!D$19</f>
        <v>11243.817092975367</v>
      </c>
      <c r="G182" s="9">
        <f>$B182*'Kroger Payments'!E$19</f>
        <v>11243.817092975367</v>
      </c>
      <c r="H182" s="9">
        <f>$B182*'Kroger Payments'!F$19</f>
        <v>11243.817092975367</v>
      </c>
      <c r="I182" s="9">
        <f>$B182*'Kroger Payments'!G$19</f>
        <v>11243.817092975367</v>
      </c>
      <c r="J182" s="9">
        <f>$B182*'Kroger Payments'!H$19</f>
        <v>11243.817092975367</v>
      </c>
      <c r="K182" s="9">
        <f>$B182*'Kroger Payments'!I$19</f>
        <v>11243.817092975367</v>
      </c>
      <c r="L182" s="9">
        <f>$B182*'Kroger Payments'!J$19</f>
        <v>11835.596939974072</v>
      </c>
      <c r="M182" s="9">
        <f>$B182*'Kroger Payments'!K$19</f>
        <v>11835.596939974072</v>
      </c>
      <c r="N182" s="9">
        <f>$B182*'Kroger Payments'!L$19</f>
        <v>11835.596939974072</v>
      </c>
      <c r="O182" s="9">
        <f>$B182*'Kroger Payments'!M$19</f>
        <v>11835.596941059001</v>
      </c>
      <c r="P182" s="7">
        <f t="shared" si="5"/>
        <v>126049.10741180879</v>
      </c>
    </row>
    <row r="183" spans="1:16" x14ac:dyDescent="0.35">
      <c r="A183" s="3" t="s">
        <v>207</v>
      </c>
      <c r="B183" s="16">
        <v>8.8022157200000003E-4</v>
      </c>
      <c r="C183" s="8" t="s">
        <v>207</v>
      </c>
      <c r="D183" s="8" t="str">
        <f t="shared" si="6"/>
        <v>No</v>
      </c>
      <c r="E183" s="9">
        <f>$B183*'Kroger Payments'!C$19</f>
        <v>1593.1245551075831</v>
      </c>
      <c r="F183" s="9">
        <f>$B183*'Kroger Payments'!D$19</f>
        <v>1593.1245551075831</v>
      </c>
      <c r="G183" s="9">
        <f>$B183*'Kroger Payments'!E$19</f>
        <v>1593.1245551075831</v>
      </c>
      <c r="H183" s="9">
        <f>$B183*'Kroger Payments'!F$19</f>
        <v>1593.1245551075831</v>
      </c>
      <c r="I183" s="9">
        <f>$B183*'Kroger Payments'!G$19</f>
        <v>1593.1245551075831</v>
      </c>
      <c r="J183" s="9">
        <f>$B183*'Kroger Payments'!H$19</f>
        <v>1593.1245551075831</v>
      </c>
      <c r="K183" s="9">
        <f>$B183*'Kroger Payments'!I$19</f>
        <v>1593.1245551075831</v>
      </c>
      <c r="L183" s="9">
        <f>$B183*'Kroger Payments'!J$19</f>
        <v>1676.9732159027189</v>
      </c>
      <c r="M183" s="9">
        <f>$B183*'Kroger Payments'!K$19</f>
        <v>1676.9732159027189</v>
      </c>
      <c r="N183" s="9">
        <f>$B183*'Kroger Payments'!L$19</f>
        <v>1676.9732159027189</v>
      </c>
      <c r="O183" s="9">
        <f>$B183*'Kroger Payments'!M$19</f>
        <v>1676.9732160564415</v>
      </c>
      <c r="P183" s="7">
        <f t="shared" si="5"/>
        <v>17859.764749517679</v>
      </c>
    </row>
    <row r="184" spans="1:16" x14ac:dyDescent="0.35">
      <c r="A184" s="3" t="s">
        <v>75</v>
      </c>
      <c r="B184" s="16">
        <v>5.0300402400000005E-4</v>
      </c>
      <c r="C184" s="8" t="s">
        <v>208</v>
      </c>
      <c r="D184" s="8" t="str">
        <f t="shared" si="6"/>
        <v>No</v>
      </c>
      <c r="E184" s="9">
        <f>$B184*'Kroger Payments'!C$19</f>
        <v>910.39357298587549</v>
      </c>
      <c r="F184" s="9">
        <f>$B184*'Kroger Payments'!D$19</f>
        <v>910.39357298587549</v>
      </c>
      <c r="G184" s="9">
        <f>$B184*'Kroger Payments'!E$19</f>
        <v>910.39357298587549</v>
      </c>
      <c r="H184" s="9">
        <f>$B184*'Kroger Payments'!F$19</f>
        <v>910.39357298587549</v>
      </c>
      <c r="I184" s="9">
        <f>$B184*'Kroger Payments'!G$19</f>
        <v>910.39357298587549</v>
      </c>
      <c r="J184" s="9">
        <f>$B184*'Kroger Payments'!H$19</f>
        <v>910.39357298587549</v>
      </c>
      <c r="K184" s="9">
        <f>$B184*'Kroger Payments'!I$19</f>
        <v>910.39357298587549</v>
      </c>
      <c r="L184" s="9">
        <f>$B184*'Kroger Payments'!J$19</f>
        <v>958.30902419565848</v>
      </c>
      <c r="M184" s="9">
        <f>$B184*'Kroger Payments'!K$19</f>
        <v>958.30902419565848</v>
      </c>
      <c r="N184" s="9">
        <f>$B184*'Kroger Payments'!L$19</f>
        <v>958.30902419565848</v>
      </c>
      <c r="O184" s="9">
        <f>$B184*'Kroger Payments'!M$19</f>
        <v>958.30902428350339</v>
      </c>
      <c r="P184" s="7">
        <f t="shared" si="5"/>
        <v>10205.991107771608</v>
      </c>
    </row>
    <row r="185" spans="1:16" x14ac:dyDescent="0.35">
      <c r="A185" s="3" t="s">
        <v>63</v>
      </c>
      <c r="B185" s="16">
        <v>2.4898815000000001E-4</v>
      </c>
      <c r="C185" s="8" t="s">
        <v>209</v>
      </c>
      <c r="D185" s="8" t="str">
        <f t="shared" si="6"/>
        <v>No</v>
      </c>
      <c r="E185" s="9">
        <f>$B185*'Kroger Payments'!C$19</f>
        <v>450.64691472456906</v>
      </c>
      <c r="F185" s="9">
        <f>$B185*'Kroger Payments'!D$19</f>
        <v>450.64691472456906</v>
      </c>
      <c r="G185" s="9">
        <f>$B185*'Kroger Payments'!E$19</f>
        <v>450.64691472456906</v>
      </c>
      <c r="H185" s="9">
        <f>$B185*'Kroger Payments'!F$19</f>
        <v>450.64691472456906</v>
      </c>
      <c r="I185" s="9">
        <f>$B185*'Kroger Payments'!G$19</f>
        <v>450.64691472456906</v>
      </c>
      <c r="J185" s="9">
        <f>$B185*'Kroger Payments'!H$19</f>
        <v>450.64691472456906</v>
      </c>
      <c r="K185" s="9">
        <f>$B185*'Kroger Payments'!I$19</f>
        <v>450.64691472456906</v>
      </c>
      <c r="L185" s="9">
        <f>$B185*'Kroger Payments'!J$19</f>
        <v>474.36517339428326</v>
      </c>
      <c r="M185" s="9">
        <f>$B185*'Kroger Payments'!K$19</f>
        <v>474.36517339428326</v>
      </c>
      <c r="N185" s="9">
        <f>$B185*'Kroger Payments'!L$19</f>
        <v>474.36517339428326</v>
      </c>
      <c r="O185" s="9">
        <f>$B185*'Kroger Payments'!M$19</f>
        <v>474.36517343776671</v>
      </c>
      <c r="P185" s="7">
        <f t="shared" si="5"/>
        <v>5051.9890966925996</v>
      </c>
    </row>
    <row r="186" spans="1:16" x14ac:dyDescent="0.35">
      <c r="A186" s="3" t="s">
        <v>168</v>
      </c>
      <c r="B186" s="16">
        <v>3.5777825500000001E-4</v>
      </c>
      <c r="C186" s="8" t="s">
        <v>210</v>
      </c>
      <c r="D186" s="8" t="str">
        <f t="shared" si="6"/>
        <v>No</v>
      </c>
      <c r="E186" s="9">
        <f>$B186*'Kroger Payments'!C$19</f>
        <v>647.54755104325295</v>
      </c>
      <c r="F186" s="9">
        <f>$B186*'Kroger Payments'!D$19</f>
        <v>647.54755104325295</v>
      </c>
      <c r="G186" s="9">
        <f>$B186*'Kroger Payments'!E$19</f>
        <v>647.54755104325295</v>
      </c>
      <c r="H186" s="9">
        <f>$B186*'Kroger Payments'!F$19</f>
        <v>647.54755104325295</v>
      </c>
      <c r="I186" s="9">
        <f>$B186*'Kroger Payments'!G$19</f>
        <v>647.54755104325295</v>
      </c>
      <c r="J186" s="9">
        <f>$B186*'Kroger Payments'!H$19</f>
        <v>647.54755104325295</v>
      </c>
      <c r="K186" s="9">
        <f>$B186*'Kroger Payments'!I$19</f>
        <v>647.54755104325295</v>
      </c>
      <c r="L186" s="9">
        <f>$B186*'Kroger Payments'!J$19</f>
        <v>681.6290010981611</v>
      </c>
      <c r="M186" s="9">
        <f>$B186*'Kroger Payments'!K$19</f>
        <v>681.6290010981611</v>
      </c>
      <c r="N186" s="9">
        <f>$B186*'Kroger Payments'!L$19</f>
        <v>681.6290010981611</v>
      </c>
      <c r="O186" s="9">
        <f>$B186*'Kroger Payments'!M$19</f>
        <v>681.62900116064372</v>
      </c>
      <c r="P186" s="7">
        <f t="shared" si="5"/>
        <v>7259.3488617578969</v>
      </c>
    </row>
    <row r="187" spans="1:16" x14ac:dyDescent="0.35">
      <c r="A187" s="3" t="s">
        <v>63</v>
      </c>
      <c r="B187" s="16">
        <v>1.5079462100000001E-4</v>
      </c>
      <c r="C187" s="8" t="s">
        <v>211</v>
      </c>
      <c r="D187" s="8" t="str">
        <f t="shared" si="6"/>
        <v>No</v>
      </c>
      <c r="E187" s="9">
        <f>$B187*'Kroger Payments'!C$19</f>
        <v>272.92516013597719</v>
      </c>
      <c r="F187" s="9">
        <f>$B187*'Kroger Payments'!D$19</f>
        <v>272.92516013597719</v>
      </c>
      <c r="G187" s="9">
        <f>$B187*'Kroger Payments'!E$19</f>
        <v>272.92516013597719</v>
      </c>
      <c r="H187" s="9">
        <f>$B187*'Kroger Payments'!F$19</f>
        <v>272.92516013597719</v>
      </c>
      <c r="I187" s="9">
        <f>$B187*'Kroger Payments'!G$19</f>
        <v>272.92516013597719</v>
      </c>
      <c r="J187" s="9">
        <f>$B187*'Kroger Payments'!H$19</f>
        <v>272.92516013597719</v>
      </c>
      <c r="K187" s="9">
        <f>$B187*'Kroger Payments'!I$19</f>
        <v>272.92516013597719</v>
      </c>
      <c r="L187" s="9">
        <f>$B187*'Kroger Payments'!J$19</f>
        <v>287.28964224839706</v>
      </c>
      <c r="M187" s="9">
        <f>$B187*'Kroger Payments'!K$19</f>
        <v>287.28964224839706</v>
      </c>
      <c r="N187" s="9">
        <f>$B187*'Kroger Payments'!L$19</f>
        <v>287.28964224839706</v>
      </c>
      <c r="O187" s="9">
        <f>$B187*'Kroger Payments'!M$19</f>
        <v>287.28964227473193</v>
      </c>
      <c r="P187" s="7">
        <f t="shared" si="5"/>
        <v>3059.6346899717637</v>
      </c>
    </row>
    <row r="188" spans="1:16" x14ac:dyDescent="0.35">
      <c r="A188" s="3" t="s">
        <v>105</v>
      </c>
      <c r="B188" s="16">
        <v>3.6086818000000001E-4</v>
      </c>
      <c r="C188" s="8" t="s">
        <v>212</v>
      </c>
      <c r="D188" s="8" t="str">
        <f t="shared" si="6"/>
        <v>No</v>
      </c>
      <c r="E188" s="9">
        <f>$B188*'Kroger Payments'!C$19</f>
        <v>653.14004678242895</v>
      </c>
      <c r="F188" s="9">
        <f>$B188*'Kroger Payments'!D$19</f>
        <v>653.14004678242895</v>
      </c>
      <c r="G188" s="9">
        <f>$B188*'Kroger Payments'!E$19</f>
        <v>653.14004678242895</v>
      </c>
      <c r="H188" s="9">
        <f>$B188*'Kroger Payments'!F$19</f>
        <v>653.14004678242895</v>
      </c>
      <c r="I188" s="9">
        <f>$B188*'Kroger Payments'!G$19</f>
        <v>653.14004678242895</v>
      </c>
      <c r="J188" s="9">
        <f>$B188*'Kroger Payments'!H$19</f>
        <v>653.14004678242895</v>
      </c>
      <c r="K188" s="9">
        <f>$B188*'Kroger Payments'!I$19</f>
        <v>653.14004678242895</v>
      </c>
      <c r="L188" s="9">
        <f>$B188*'Kroger Payments'!J$19</f>
        <v>687.51583871834634</v>
      </c>
      <c r="M188" s="9">
        <f>$B188*'Kroger Payments'!K$19</f>
        <v>687.51583871834634</v>
      </c>
      <c r="N188" s="9">
        <f>$B188*'Kroger Payments'!L$19</f>
        <v>687.51583871834634</v>
      </c>
      <c r="O188" s="9">
        <f>$B188*'Kroger Payments'!M$19</f>
        <v>687.51583878136864</v>
      </c>
      <c r="P188" s="7">
        <f t="shared" si="5"/>
        <v>7322.0436824134104</v>
      </c>
    </row>
    <row r="189" spans="1:16" x14ac:dyDescent="0.35">
      <c r="A189" s="3" t="s">
        <v>105</v>
      </c>
      <c r="B189" s="16">
        <v>1.7481853959999999E-3</v>
      </c>
      <c r="C189" s="8" t="s">
        <v>213</v>
      </c>
      <c r="D189" s="8" t="str">
        <f t="shared" si="6"/>
        <v>No</v>
      </c>
      <c r="E189" s="9">
        <f>$B189*'Kroger Payments'!C$19</f>
        <v>3164.0636515189535</v>
      </c>
      <c r="F189" s="9">
        <f>$B189*'Kroger Payments'!D$19</f>
        <v>3164.0636515189535</v>
      </c>
      <c r="G189" s="9">
        <f>$B189*'Kroger Payments'!E$19</f>
        <v>3164.0636515189535</v>
      </c>
      <c r="H189" s="9">
        <f>$B189*'Kroger Payments'!F$19</f>
        <v>3164.0636515189535</v>
      </c>
      <c r="I189" s="9">
        <f>$B189*'Kroger Payments'!G$19</f>
        <v>3164.0636515189535</v>
      </c>
      <c r="J189" s="9">
        <f>$B189*'Kroger Payments'!H$19</f>
        <v>3164.0636515189535</v>
      </c>
      <c r="K189" s="9">
        <f>$B189*'Kroger Payments'!I$19</f>
        <v>3164.0636515189535</v>
      </c>
      <c r="L189" s="9">
        <f>$B189*'Kroger Payments'!J$19</f>
        <v>3330.5933173883723</v>
      </c>
      <c r="M189" s="9">
        <f>$B189*'Kroger Payments'!K$19</f>
        <v>3330.5933173883723</v>
      </c>
      <c r="N189" s="9">
        <f>$B189*'Kroger Payments'!L$19</f>
        <v>3330.5933173883723</v>
      </c>
      <c r="O189" s="9">
        <f>$B189*'Kroger Payments'!M$19</f>
        <v>3330.5933176936765</v>
      </c>
      <c r="P189" s="7">
        <f t="shared" si="5"/>
        <v>35470.818830491466</v>
      </c>
    </row>
    <row r="190" spans="1:16" x14ac:dyDescent="0.35">
      <c r="A190" s="3" t="s">
        <v>105</v>
      </c>
      <c r="B190" s="16">
        <v>1.7053905386E-2</v>
      </c>
      <c r="C190" s="8" t="s">
        <v>105</v>
      </c>
      <c r="D190" s="8" t="str">
        <f t="shared" si="6"/>
        <v>No</v>
      </c>
      <c r="E190" s="9">
        <f>$B190*'Kroger Payments'!C$19</f>
        <v>30866.086784473926</v>
      </c>
      <c r="F190" s="9">
        <f>$B190*'Kroger Payments'!D$19</f>
        <v>30866.086784473926</v>
      </c>
      <c r="G190" s="9">
        <f>$B190*'Kroger Payments'!E$19</f>
        <v>30866.086784473926</v>
      </c>
      <c r="H190" s="9">
        <f>$B190*'Kroger Payments'!F$19</f>
        <v>30866.086784473926</v>
      </c>
      <c r="I190" s="9">
        <f>$B190*'Kroger Payments'!G$19</f>
        <v>30866.086784473926</v>
      </c>
      <c r="J190" s="9">
        <f>$B190*'Kroger Payments'!H$19</f>
        <v>30866.086784473926</v>
      </c>
      <c r="K190" s="9">
        <f>$B190*'Kroger Payments'!I$19</f>
        <v>30866.086784473926</v>
      </c>
      <c r="L190" s="9">
        <f>$B190*'Kroger Payments'!J$19</f>
        <v>32490.617667867289</v>
      </c>
      <c r="M190" s="9">
        <f>$B190*'Kroger Payments'!K$19</f>
        <v>32490.617667867289</v>
      </c>
      <c r="N190" s="9">
        <f>$B190*'Kroger Payments'!L$19</f>
        <v>32490.617667867289</v>
      </c>
      <c r="O190" s="9">
        <f>$B190*'Kroger Payments'!M$19</f>
        <v>32490.617670845597</v>
      </c>
      <c r="P190" s="7">
        <f t="shared" si="5"/>
        <v>346025.07816576486</v>
      </c>
    </row>
    <row r="191" spans="1:16" x14ac:dyDescent="0.35">
      <c r="A191" s="3" t="s">
        <v>105</v>
      </c>
      <c r="B191" s="16">
        <v>5.0045130600000003E-4</v>
      </c>
      <c r="C191" s="8" t="s">
        <v>214</v>
      </c>
      <c r="D191" s="8" t="str">
        <f t="shared" si="6"/>
        <v>No</v>
      </c>
      <c r="E191" s="9">
        <f>$B191*'Kroger Payments'!C$19</f>
        <v>905.77337523404719</v>
      </c>
      <c r="F191" s="9">
        <f>$B191*'Kroger Payments'!D$19</f>
        <v>905.77337523404719</v>
      </c>
      <c r="G191" s="9">
        <f>$B191*'Kroger Payments'!E$19</f>
        <v>905.77337523404719</v>
      </c>
      <c r="H191" s="9">
        <f>$B191*'Kroger Payments'!F$19</f>
        <v>905.77337523404719</v>
      </c>
      <c r="I191" s="9">
        <f>$B191*'Kroger Payments'!G$19</f>
        <v>905.77337523404719</v>
      </c>
      <c r="J191" s="9">
        <f>$B191*'Kroger Payments'!H$19</f>
        <v>905.77337523404719</v>
      </c>
      <c r="K191" s="9">
        <f>$B191*'Kroger Payments'!I$19</f>
        <v>905.77337523404719</v>
      </c>
      <c r="L191" s="9">
        <f>$B191*'Kroger Payments'!J$19</f>
        <v>953.4456581411024</v>
      </c>
      <c r="M191" s="9">
        <f>$B191*'Kroger Payments'!K$19</f>
        <v>953.4456581411024</v>
      </c>
      <c r="N191" s="9">
        <f>$B191*'Kroger Payments'!L$19</f>
        <v>953.4456581411024</v>
      </c>
      <c r="O191" s="9">
        <f>$B191*'Kroger Payments'!M$19</f>
        <v>953.44565822850154</v>
      </c>
      <c r="P191" s="7">
        <f t="shared" si="5"/>
        <v>10154.19625929014</v>
      </c>
    </row>
    <row r="192" spans="1:16" x14ac:dyDescent="0.35">
      <c r="A192" s="3" t="s">
        <v>75</v>
      </c>
      <c r="B192" s="16">
        <v>4.8044129600000003E-4</v>
      </c>
      <c r="C192" s="8" t="s">
        <v>215</v>
      </c>
      <c r="D192" s="8" t="str">
        <f t="shared" si="6"/>
        <v>No</v>
      </c>
      <c r="E192" s="9">
        <f>$B192*'Kroger Payments'!C$19</f>
        <v>869.5569959802242</v>
      </c>
      <c r="F192" s="9">
        <f>$B192*'Kroger Payments'!D$19</f>
        <v>869.5569959802242</v>
      </c>
      <c r="G192" s="9">
        <f>$B192*'Kroger Payments'!E$19</f>
        <v>869.5569959802242</v>
      </c>
      <c r="H192" s="9">
        <f>$B192*'Kroger Payments'!F$19</f>
        <v>869.5569959802242</v>
      </c>
      <c r="I192" s="9">
        <f>$B192*'Kroger Payments'!G$19</f>
        <v>869.5569959802242</v>
      </c>
      <c r="J192" s="9">
        <f>$B192*'Kroger Payments'!H$19</f>
        <v>869.5569959802242</v>
      </c>
      <c r="K192" s="9">
        <f>$B192*'Kroger Payments'!I$19</f>
        <v>869.5569959802242</v>
      </c>
      <c r="L192" s="9">
        <f>$B192*'Kroger Payments'!J$19</f>
        <v>915.3231536633939</v>
      </c>
      <c r="M192" s="9">
        <f>$B192*'Kroger Payments'!K$19</f>
        <v>915.3231536633939</v>
      </c>
      <c r="N192" s="9">
        <f>$B192*'Kroger Payments'!L$19</f>
        <v>915.3231536633939</v>
      </c>
      <c r="O192" s="9">
        <f>$B192*'Kroger Payments'!M$19</f>
        <v>915.32315374729853</v>
      </c>
      <c r="P192" s="7">
        <f t="shared" si="5"/>
        <v>9748.1915865990504</v>
      </c>
    </row>
    <row r="193" spans="1:16" x14ac:dyDescent="0.35">
      <c r="A193" s="3" t="s">
        <v>216</v>
      </c>
      <c r="B193" s="16">
        <v>4.6712613579999998E-3</v>
      </c>
      <c r="C193" s="8" t="s">
        <v>216</v>
      </c>
      <c r="D193" s="8" t="str">
        <f t="shared" si="6"/>
        <v>No</v>
      </c>
      <c r="E193" s="9">
        <f>$B193*'Kroger Payments'!C$19</f>
        <v>8454.5771308988024</v>
      </c>
      <c r="F193" s="9">
        <f>$B193*'Kroger Payments'!D$19</f>
        <v>8454.5771308988024</v>
      </c>
      <c r="G193" s="9">
        <f>$B193*'Kroger Payments'!E$19</f>
        <v>8454.5771308988024</v>
      </c>
      <c r="H193" s="9">
        <f>$B193*'Kroger Payments'!F$19</f>
        <v>8454.5771308988024</v>
      </c>
      <c r="I193" s="9">
        <f>$B193*'Kroger Payments'!G$19</f>
        <v>8454.5771308988024</v>
      </c>
      <c r="J193" s="9">
        <f>$B193*'Kroger Payments'!H$19</f>
        <v>8454.5771308988024</v>
      </c>
      <c r="K193" s="9">
        <f>$B193*'Kroger Payments'!I$19</f>
        <v>8454.5771308988024</v>
      </c>
      <c r="L193" s="9">
        <f>$B193*'Kroger Payments'!J$19</f>
        <v>8899.5548746303175</v>
      </c>
      <c r="M193" s="9">
        <f>$B193*'Kroger Payments'!K$19</f>
        <v>8899.5548746303175</v>
      </c>
      <c r="N193" s="9">
        <f>$B193*'Kroger Payments'!L$19</f>
        <v>8899.5548746303175</v>
      </c>
      <c r="O193" s="9">
        <f>$B193*'Kroger Payments'!M$19</f>
        <v>8899.5548754461106</v>
      </c>
      <c r="P193" s="7">
        <f t="shared" si="5"/>
        <v>94780.25941562868</v>
      </c>
    </row>
    <row r="194" spans="1:16" x14ac:dyDescent="0.35">
      <c r="A194" s="3" t="s">
        <v>217</v>
      </c>
      <c r="B194" s="16">
        <v>5.8331284699999998E-4</v>
      </c>
      <c r="C194" s="8" t="s">
        <v>218</v>
      </c>
      <c r="D194" s="8" t="str">
        <f t="shared" si="6"/>
        <v>No</v>
      </c>
      <c r="E194" s="9">
        <f>$B194*'Kroger Payments'!C$19</f>
        <v>1055.7455638742431</v>
      </c>
      <c r="F194" s="9">
        <f>$B194*'Kroger Payments'!D$19</f>
        <v>1055.7455638742431</v>
      </c>
      <c r="G194" s="9">
        <f>$B194*'Kroger Payments'!E$19</f>
        <v>1055.7455638742431</v>
      </c>
      <c r="H194" s="9">
        <f>$B194*'Kroger Payments'!F$19</f>
        <v>1055.7455638742431</v>
      </c>
      <c r="I194" s="9">
        <f>$B194*'Kroger Payments'!G$19</f>
        <v>1055.7455638742431</v>
      </c>
      <c r="J194" s="9">
        <f>$B194*'Kroger Payments'!H$19</f>
        <v>1055.7455638742431</v>
      </c>
      <c r="K194" s="9">
        <f>$B194*'Kroger Payments'!I$19</f>
        <v>1055.7455638742431</v>
      </c>
      <c r="L194" s="9">
        <f>$B194*'Kroger Payments'!J$19</f>
        <v>1111.3111198676243</v>
      </c>
      <c r="M194" s="9">
        <f>$B194*'Kroger Payments'!K$19</f>
        <v>1111.3111198676243</v>
      </c>
      <c r="N194" s="9">
        <f>$B194*'Kroger Payments'!L$19</f>
        <v>1111.3111198676243</v>
      </c>
      <c r="O194" s="9">
        <f>$B194*'Kroger Payments'!M$19</f>
        <v>1111.3111199694945</v>
      </c>
      <c r="P194" s="7">
        <f t="shared" si="5"/>
        <v>11835.463426692066</v>
      </c>
    </row>
    <row r="195" spans="1:16" x14ac:dyDescent="0.35">
      <c r="A195" s="3" t="s">
        <v>47</v>
      </c>
      <c r="B195" s="16">
        <v>2.15348319E-4</v>
      </c>
      <c r="C195" s="8" t="s">
        <v>219</v>
      </c>
      <c r="D195" s="8" t="str">
        <f t="shared" si="6"/>
        <v>No</v>
      </c>
      <c r="E195" s="9">
        <f>$B195*'Kroger Payments'!C$19</f>
        <v>389.76174387605312</v>
      </c>
      <c r="F195" s="9">
        <f>$B195*'Kroger Payments'!D$19</f>
        <v>389.76174387605312</v>
      </c>
      <c r="G195" s="9">
        <f>$B195*'Kroger Payments'!E$19</f>
        <v>389.76174387605312</v>
      </c>
      <c r="H195" s="9">
        <f>$B195*'Kroger Payments'!F$19</f>
        <v>389.76174387605312</v>
      </c>
      <c r="I195" s="9">
        <f>$B195*'Kroger Payments'!G$19</f>
        <v>389.76174387605312</v>
      </c>
      <c r="J195" s="9">
        <f>$B195*'Kroger Payments'!H$19</f>
        <v>389.76174387605312</v>
      </c>
      <c r="K195" s="9">
        <f>$B195*'Kroger Payments'!I$19</f>
        <v>389.76174387605312</v>
      </c>
      <c r="L195" s="9">
        <f>$B195*'Kroger Payments'!J$19</f>
        <v>410.2755198695296</v>
      </c>
      <c r="M195" s="9">
        <f>$B195*'Kroger Payments'!K$19</f>
        <v>410.2755198695296</v>
      </c>
      <c r="N195" s="9">
        <f>$B195*'Kroger Payments'!L$19</f>
        <v>410.2755198695296</v>
      </c>
      <c r="O195" s="9">
        <f>$B195*'Kroger Payments'!M$19</f>
        <v>410.27551990713818</v>
      </c>
      <c r="P195" s="7">
        <f t="shared" si="5"/>
        <v>4369.4342866480984</v>
      </c>
    </row>
    <row r="196" spans="1:16" x14ac:dyDescent="0.35">
      <c r="A196" s="3" t="s">
        <v>22</v>
      </c>
      <c r="B196" s="16">
        <v>8.36973671E-4</v>
      </c>
      <c r="C196" s="8" t="s">
        <v>220</v>
      </c>
      <c r="D196" s="8" t="str">
        <f t="shared" si="6"/>
        <v>No</v>
      </c>
      <c r="E196" s="9">
        <f>$B196*'Kroger Payments'!C$19</f>
        <v>1514.8496124889739</v>
      </c>
      <c r="F196" s="9">
        <f>$B196*'Kroger Payments'!D$19</f>
        <v>1514.8496124889739</v>
      </c>
      <c r="G196" s="9">
        <f>$B196*'Kroger Payments'!E$19</f>
        <v>1514.8496124889739</v>
      </c>
      <c r="H196" s="9">
        <f>$B196*'Kroger Payments'!F$19</f>
        <v>1514.8496124889739</v>
      </c>
      <c r="I196" s="9">
        <f>$B196*'Kroger Payments'!G$19</f>
        <v>1514.8496124889739</v>
      </c>
      <c r="J196" s="9">
        <f>$B196*'Kroger Payments'!H$19</f>
        <v>1514.8496124889739</v>
      </c>
      <c r="K196" s="9">
        <f>$B196*'Kroger Payments'!I$19</f>
        <v>1514.8496124889739</v>
      </c>
      <c r="L196" s="9">
        <f>$B196*'Kroger Payments'!J$19</f>
        <v>1594.578539462078</v>
      </c>
      <c r="M196" s="9">
        <f>$B196*'Kroger Payments'!K$19</f>
        <v>1594.578539462078</v>
      </c>
      <c r="N196" s="9">
        <f>$B196*'Kroger Payments'!L$19</f>
        <v>1594.578539462078</v>
      </c>
      <c r="O196" s="9">
        <f>$B196*'Kroger Payments'!M$19</f>
        <v>1594.5785396082476</v>
      </c>
      <c r="P196" s="7">
        <f t="shared" ref="P196:P259" si="7">SUM(E196:O196)</f>
        <v>16982.261445417298</v>
      </c>
    </row>
    <row r="197" spans="1:16" x14ac:dyDescent="0.35">
      <c r="A197" s="3" t="s">
        <v>105</v>
      </c>
      <c r="B197" s="16">
        <v>7.0182865800000002E-4</v>
      </c>
      <c r="C197" s="8" t="s">
        <v>221</v>
      </c>
      <c r="D197" s="8" t="str">
        <f t="shared" si="6"/>
        <v>No</v>
      </c>
      <c r="E197" s="9">
        <f>$B197*'Kroger Payments'!C$19</f>
        <v>1270.2488829005908</v>
      </c>
      <c r="F197" s="9">
        <f>$B197*'Kroger Payments'!D$19</f>
        <v>1270.2488829005908</v>
      </c>
      <c r="G197" s="9">
        <f>$B197*'Kroger Payments'!E$19</f>
        <v>1270.2488829005908</v>
      </c>
      <c r="H197" s="9">
        <f>$B197*'Kroger Payments'!F$19</f>
        <v>1270.2488829005908</v>
      </c>
      <c r="I197" s="9">
        <f>$B197*'Kroger Payments'!G$19</f>
        <v>1270.2488829005908</v>
      </c>
      <c r="J197" s="9">
        <f>$B197*'Kroger Payments'!H$19</f>
        <v>1270.2488829005908</v>
      </c>
      <c r="K197" s="9">
        <f>$B197*'Kroger Payments'!I$19</f>
        <v>1270.2488829005908</v>
      </c>
      <c r="L197" s="9">
        <f>$B197*'Kroger Payments'!J$19</f>
        <v>1337.10408726378</v>
      </c>
      <c r="M197" s="9">
        <f>$B197*'Kroger Payments'!K$19</f>
        <v>1337.10408726378</v>
      </c>
      <c r="N197" s="9">
        <f>$B197*'Kroger Payments'!L$19</f>
        <v>1337.10408726378</v>
      </c>
      <c r="O197" s="9">
        <f>$B197*'Kroger Payments'!M$19</f>
        <v>1337.1040873863478</v>
      </c>
      <c r="P197" s="7">
        <f t="shared" si="7"/>
        <v>14240.158529481825</v>
      </c>
    </row>
    <row r="198" spans="1:16" x14ac:dyDescent="0.35">
      <c r="A198" s="3" t="s">
        <v>34</v>
      </c>
      <c r="B198" s="16">
        <v>1.4658150560000001E-3</v>
      </c>
      <c r="C198" s="8" t="s">
        <v>222</v>
      </c>
      <c r="D198" s="8" t="str">
        <f t="shared" ref="D198:D261" si="8">IF(B198&lt;0.000011, "Yes", "No")</f>
        <v>No</v>
      </c>
      <c r="E198" s="9">
        <f>$B198*'Kroger Payments'!C$19</f>
        <v>2652.9978737671713</v>
      </c>
      <c r="F198" s="9">
        <f>$B198*'Kroger Payments'!D$19</f>
        <v>2652.9978737671713</v>
      </c>
      <c r="G198" s="9">
        <f>$B198*'Kroger Payments'!E$19</f>
        <v>2652.9978737671713</v>
      </c>
      <c r="H198" s="9">
        <f>$B198*'Kroger Payments'!F$19</f>
        <v>2652.9978737671713</v>
      </c>
      <c r="I198" s="9">
        <f>$B198*'Kroger Payments'!G$19</f>
        <v>2652.9978737671713</v>
      </c>
      <c r="J198" s="9">
        <f>$B198*'Kroger Payments'!H$19</f>
        <v>2652.9978737671713</v>
      </c>
      <c r="K198" s="9">
        <f>$B198*'Kroger Payments'!I$19</f>
        <v>2652.9978737671713</v>
      </c>
      <c r="L198" s="9">
        <f>$B198*'Kroger Payments'!J$19</f>
        <v>2792.6293408075485</v>
      </c>
      <c r="M198" s="9">
        <f>$B198*'Kroger Payments'!K$19</f>
        <v>2792.6293408075485</v>
      </c>
      <c r="N198" s="9">
        <f>$B198*'Kroger Payments'!L$19</f>
        <v>2792.6293408075485</v>
      </c>
      <c r="O198" s="9">
        <f>$B198*'Kroger Payments'!M$19</f>
        <v>2792.6293410635394</v>
      </c>
      <c r="P198" s="7">
        <f t="shared" si="7"/>
        <v>29741.502479856383</v>
      </c>
    </row>
    <row r="199" spans="1:16" x14ac:dyDescent="0.35">
      <c r="A199" s="3" t="s">
        <v>34</v>
      </c>
      <c r="B199" s="16">
        <v>1.0377755419999999E-3</v>
      </c>
      <c r="C199" s="8" t="s">
        <v>223</v>
      </c>
      <c r="D199" s="8" t="str">
        <f t="shared" si="8"/>
        <v>No</v>
      </c>
      <c r="E199" s="9">
        <f>$B199*'Kroger Payments'!C$19</f>
        <v>1878.2835495541349</v>
      </c>
      <c r="F199" s="9">
        <f>$B199*'Kroger Payments'!D$19</f>
        <v>1878.2835495541349</v>
      </c>
      <c r="G199" s="9">
        <f>$B199*'Kroger Payments'!E$19</f>
        <v>1878.2835495541349</v>
      </c>
      <c r="H199" s="9">
        <f>$B199*'Kroger Payments'!F$19</f>
        <v>1878.2835495541349</v>
      </c>
      <c r="I199" s="9">
        <f>$B199*'Kroger Payments'!G$19</f>
        <v>1878.2835495541349</v>
      </c>
      <c r="J199" s="9">
        <f>$B199*'Kroger Payments'!H$19</f>
        <v>1878.2835495541349</v>
      </c>
      <c r="K199" s="9">
        <f>$B199*'Kroger Payments'!I$19</f>
        <v>1878.2835495541349</v>
      </c>
      <c r="L199" s="9">
        <f>$B199*'Kroger Payments'!J$19</f>
        <v>1977.140578478037</v>
      </c>
      <c r="M199" s="9">
        <f>$B199*'Kroger Payments'!K$19</f>
        <v>1977.140578478037</v>
      </c>
      <c r="N199" s="9">
        <f>$B199*'Kroger Payments'!L$19</f>
        <v>1977.140578478037</v>
      </c>
      <c r="O199" s="9">
        <f>$B199*'Kroger Payments'!M$19</f>
        <v>1977.1405786592748</v>
      </c>
      <c r="P199" s="7">
        <f t="shared" si="7"/>
        <v>21056.547160972328</v>
      </c>
    </row>
    <row r="200" spans="1:16" x14ac:dyDescent="0.35">
      <c r="A200" s="3" t="s">
        <v>34</v>
      </c>
      <c r="B200" s="16">
        <v>2.7435338699999999E-4</v>
      </c>
      <c r="C200" s="8" t="s">
        <v>224</v>
      </c>
      <c r="D200" s="8" t="str">
        <f t="shared" si="8"/>
        <v>No</v>
      </c>
      <c r="E200" s="9">
        <f>$B200*'Kroger Payments'!C$19</f>
        <v>496.55578948550641</v>
      </c>
      <c r="F200" s="9">
        <f>$B200*'Kroger Payments'!D$19</f>
        <v>496.55578948550641</v>
      </c>
      <c r="G200" s="9">
        <f>$B200*'Kroger Payments'!E$19</f>
        <v>496.55578948550641</v>
      </c>
      <c r="H200" s="9">
        <f>$B200*'Kroger Payments'!F$19</f>
        <v>496.55578948550641</v>
      </c>
      <c r="I200" s="9">
        <f>$B200*'Kroger Payments'!G$19</f>
        <v>496.55578948550641</v>
      </c>
      <c r="J200" s="9">
        <f>$B200*'Kroger Payments'!H$19</f>
        <v>496.55578948550641</v>
      </c>
      <c r="K200" s="9">
        <f>$B200*'Kroger Payments'!I$19</f>
        <v>496.55578948550641</v>
      </c>
      <c r="L200" s="9">
        <f>$B200*'Kroger Payments'!J$19</f>
        <v>522.69030472158568</v>
      </c>
      <c r="M200" s="9">
        <f>$B200*'Kroger Payments'!K$19</f>
        <v>522.69030472158568</v>
      </c>
      <c r="N200" s="9">
        <f>$B200*'Kroger Payments'!L$19</f>
        <v>522.69030472158568</v>
      </c>
      <c r="O200" s="9">
        <f>$B200*'Kroger Payments'!M$19</f>
        <v>522.69030476949899</v>
      </c>
      <c r="P200" s="7">
        <f t="shared" si="7"/>
        <v>5566.6517453328006</v>
      </c>
    </row>
    <row r="201" spans="1:16" x14ac:dyDescent="0.35">
      <c r="A201" s="3" t="s">
        <v>34</v>
      </c>
      <c r="B201" s="16">
        <v>5.2264042066000001E-2</v>
      </c>
      <c r="C201" s="8" t="s">
        <v>34</v>
      </c>
      <c r="D201" s="8" t="str">
        <f t="shared" si="8"/>
        <v>No</v>
      </c>
      <c r="E201" s="9">
        <f>$B201*'Kroger Payments'!C$19</f>
        <v>94593.374456085527</v>
      </c>
      <c r="F201" s="9">
        <f>$B201*'Kroger Payments'!D$19</f>
        <v>94593.374456085527</v>
      </c>
      <c r="G201" s="9">
        <f>$B201*'Kroger Payments'!E$19</f>
        <v>94593.374456085527</v>
      </c>
      <c r="H201" s="9">
        <f>$B201*'Kroger Payments'!F$19</f>
        <v>94593.374456085527</v>
      </c>
      <c r="I201" s="9">
        <f>$B201*'Kroger Payments'!G$19</f>
        <v>94593.374456085527</v>
      </c>
      <c r="J201" s="9">
        <f>$B201*'Kroger Payments'!H$19</f>
        <v>94593.374456085527</v>
      </c>
      <c r="K201" s="9">
        <f>$B201*'Kroger Payments'!I$19</f>
        <v>94593.374456085527</v>
      </c>
      <c r="L201" s="9">
        <f>$B201*'Kroger Payments'!J$19</f>
        <v>99571.97311166898</v>
      </c>
      <c r="M201" s="9">
        <f>$B201*'Kroger Payments'!K$19</f>
        <v>99571.97311166898</v>
      </c>
      <c r="N201" s="9">
        <f>$B201*'Kroger Payments'!L$19</f>
        <v>99571.97311166898</v>
      </c>
      <c r="O201" s="9">
        <f>$B201*'Kroger Payments'!M$19</f>
        <v>99571.973120796407</v>
      </c>
      <c r="P201" s="7">
        <f t="shared" si="7"/>
        <v>1060441.5136484019</v>
      </c>
    </row>
    <row r="202" spans="1:16" x14ac:dyDescent="0.35">
      <c r="A202" s="3" t="s">
        <v>225</v>
      </c>
      <c r="B202" s="16">
        <v>2.1764662029999998E-3</v>
      </c>
      <c r="C202" s="8" t="s">
        <v>225</v>
      </c>
      <c r="D202" s="8" t="str">
        <f t="shared" si="8"/>
        <v>No</v>
      </c>
      <c r="E202" s="9">
        <f>$B202*'Kroger Payments'!C$19</f>
        <v>3939.2146950939132</v>
      </c>
      <c r="F202" s="9">
        <f>$B202*'Kroger Payments'!D$19</f>
        <v>3939.2146950939132</v>
      </c>
      <c r="G202" s="9">
        <f>$B202*'Kroger Payments'!E$19</f>
        <v>3939.2146950939132</v>
      </c>
      <c r="H202" s="9">
        <f>$B202*'Kroger Payments'!F$19</f>
        <v>3939.2146950939132</v>
      </c>
      <c r="I202" s="9">
        <f>$B202*'Kroger Payments'!G$19</f>
        <v>3939.2146950939132</v>
      </c>
      <c r="J202" s="9">
        <f>$B202*'Kroger Payments'!H$19</f>
        <v>3939.2146950939132</v>
      </c>
      <c r="K202" s="9">
        <f>$B202*'Kroger Payments'!I$19</f>
        <v>3939.2146950939132</v>
      </c>
      <c r="L202" s="9">
        <f>$B202*'Kroger Payments'!J$19</f>
        <v>4146.5417843093828</v>
      </c>
      <c r="M202" s="9">
        <f>$B202*'Kroger Payments'!K$19</f>
        <v>4146.5417843093828</v>
      </c>
      <c r="N202" s="9">
        <f>$B202*'Kroger Payments'!L$19</f>
        <v>4146.5417843093828</v>
      </c>
      <c r="O202" s="9">
        <f>$B202*'Kroger Payments'!M$19</f>
        <v>4146.5417846894816</v>
      </c>
      <c r="P202" s="7">
        <f t="shared" si="7"/>
        <v>44160.670003275023</v>
      </c>
    </row>
    <row r="203" spans="1:16" x14ac:dyDescent="0.35">
      <c r="A203" s="3" t="s">
        <v>60</v>
      </c>
      <c r="B203" s="16">
        <v>3.6155930000000002E-6</v>
      </c>
      <c r="C203" s="8" t="s">
        <v>226</v>
      </c>
      <c r="D203" s="8" t="str">
        <f t="shared" si="8"/>
        <v>Yes</v>
      </c>
      <c r="E203" s="9">
        <f>$B203*'Kroger Payments'!C$19</f>
        <v>6.5439091392491928</v>
      </c>
      <c r="F203" s="9">
        <f>$B203*'Kroger Payments'!D$19</f>
        <v>6.5439091392491928</v>
      </c>
      <c r="G203" s="9">
        <f>$B203*'Kroger Payments'!E$19</f>
        <v>6.5439091392491928</v>
      </c>
      <c r="H203" s="9">
        <f>$B203*'Kroger Payments'!F$19</f>
        <v>6.5439091392491928</v>
      </c>
      <c r="I203" s="9">
        <f>$B203*'Kroger Payments'!G$19</f>
        <v>6.5439091392491928</v>
      </c>
      <c r="J203" s="9">
        <f>$B203*'Kroger Payments'!H$19</f>
        <v>6.5439091392491928</v>
      </c>
      <c r="K203" s="9">
        <f>$B203*'Kroger Payments'!I$19</f>
        <v>6.5439091392491928</v>
      </c>
      <c r="L203" s="9">
        <f>$B203*'Kroger Payments'!J$19</f>
        <v>6.8883254097359927</v>
      </c>
      <c r="M203" s="9">
        <f>$B203*'Kroger Payments'!K$19</f>
        <v>6.8883254097359927</v>
      </c>
      <c r="N203" s="9">
        <f>$B203*'Kroger Payments'!L$19</f>
        <v>6.8883254097359927</v>
      </c>
      <c r="O203" s="9">
        <f>$B203*'Kroger Payments'!M$19</f>
        <v>6.8883254103674227</v>
      </c>
      <c r="P203" s="7">
        <f t="shared" si="7"/>
        <v>73.360665614319757</v>
      </c>
    </row>
    <row r="204" spans="1:16" x14ac:dyDescent="0.35">
      <c r="A204" s="3" t="s">
        <v>227</v>
      </c>
      <c r="B204" s="16">
        <v>5.5636187639999998E-3</v>
      </c>
      <c r="C204" s="8" t="s">
        <v>227</v>
      </c>
      <c r="D204" s="8" t="str">
        <f t="shared" si="8"/>
        <v>No</v>
      </c>
      <c r="E204" s="9">
        <f>$B204*'Kroger Payments'!C$19</f>
        <v>10069.666490956779</v>
      </c>
      <c r="F204" s="9">
        <f>$B204*'Kroger Payments'!D$19</f>
        <v>10069.666490956779</v>
      </c>
      <c r="G204" s="9">
        <f>$B204*'Kroger Payments'!E$19</f>
        <v>10069.666490956779</v>
      </c>
      <c r="H204" s="9">
        <f>$B204*'Kroger Payments'!F$19</f>
        <v>10069.666490956779</v>
      </c>
      <c r="I204" s="9">
        <f>$B204*'Kroger Payments'!G$19</f>
        <v>10069.666490956779</v>
      </c>
      <c r="J204" s="9">
        <f>$B204*'Kroger Payments'!H$19</f>
        <v>10069.666490956779</v>
      </c>
      <c r="K204" s="9">
        <f>$B204*'Kroger Payments'!I$19</f>
        <v>10069.666490956779</v>
      </c>
      <c r="L204" s="9">
        <f>$B204*'Kroger Payments'!J$19</f>
        <v>10599.648937849242</v>
      </c>
      <c r="M204" s="9">
        <f>$B204*'Kroger Payments'!K$19</f>
        <v>10599.648937849242</v>
      </c>
      <c r="N204" s="9">
        <f>$B204*'Kroger Payments'!L$19</f>
        <v>10599.648937849242</v>
      </c>
      <c r="O204" s="9">
        <f>$B204*'Kroger Payments'!M$19</f>
        <v>10599.648938820876</v>
      </c>
      <c r="P204" s="7">
        <f t="shared" si="7"/>
        <v>112886.26118906605</v>
      </c>
    </row>
    <row r="205" spans="1:16" x14ac:dyDescent="0.35">
      <c r="A205" s="3" t="s">
        <v>228</v>
      </c>
      <c r="B205" s="16">
        <v>5.0434900399999995E-4</v>
      </c>
      <c r="C205" s="8" t="s">
        <v>228</v>
      </c>
      <c r="D205" s="8" t="str">
        <f t="shared" si="8"/>
        <v>No</v>
      </c>
      <c r="E205" s="9">
        <f>$B205*'Kroger Payments'!C$19</f>
        <v>912.82786990870579</v>
      </c>
      <c r="F205" s="9">
        <f>$B205*'Kroger Payments'!D$19</f>
        <v>912.82786990870579</v>
      </c>
      <c r="G205" s="9">
        <f>$B205*'Kroger Payments'!E$19</f>
        <v>912.82786990870579</v>
      </c>
      <c r="H205" s="9">
        <f>$B205*'Kroger Payments'!F$19</f>
        <v>912.82786990870579</v>
      </c>
      <c r="I205" s="9">
        <f>$B205*'Kroger Payments'!G$19</f>
        <v>912.82786990870579</v>
      </c>
      <c r="J205" s="9">
        <f>$B205*'Kroger Payments'!H$19</f>
        <v>912.82786990870579</v>
      </c>
      <c r="K205" s="9">
        <f>$B205*'Kroger Payments'!I$19</f>
        <v>912.82786990870579</v>
      </c>
      <c r="L205" s="9">
        <f>$B205*'Kroger Payments'!J$19</f>
        <v>960.87144200916396</v>
      </c>
      <c r="M205" s="9">
        <f>$B205*'Kroger Payments'!K$19</f>
        <v>960.87144200916396</v>
      </c>
      <c r="N205" s="9">
        <f>$B205*'Kroger Payments'!L$19</f>
        <v>960.87144200916396</v>
      </c>
      <c r="O205" s="9">
        <f>$B205*'Kroger Payments'!M$19</f>
        <v>960.87144209724386</v>
      </c>
      <c r="P205" s="7">
        <f t="shared" si="7"/>
        <v>10233.280857485677</v>
      </c>
    </row>
    <row r="206" spans="1:16" x14ac:dyDescent="0.35">
      <c r="A206" s="3" t="s">
        <v>34</v>
      </c>
      <c r="B206" s="16">
        <v>4.84616785E-4</v>
      </c>
      <c r="C206" s="8" t="s">
        <v>229</v>
      </c>
      <c r="D206" s="8" t="str">
        <f t="shared" si="8"/>
        <v>No</v>
      </c>
      <c r="E206" s="9">
        <f>$B206*'Kroger Payments'!C$19</f>
        <v>877.11426822517387</v>
      </c>
      <c r="F206" s="9">
        <f>$B206*'Kroger Payments'!D$19</f>
        <v>877.11426822517387</v>
      </c>
      <c r="G206" s="9">
        <f>$B206*'Kroger Payments'!E$19</f>
        <v>877.11426822517387</v>
      </c>
      <c r="H206" s="9">
        <f>$B206*'Kroger Payments'!F$19</f>
        <v>877.11426822517387</v>
      </c>
      <c r="I206" s="9">
        <f>$B206*'Kroger Payments'!G$19</f>
        <v>877.11426822517387</v>
      </c>
      <c r="J206" s="9">
        <f>$B206*'Kroger Payments'!H$19</f>
        <v>877.11426822517387</v>
      </c>
      <c r="K206" s="9">
        <f>$B206*'Kroger Payments'!I$19</f>
        <v>877.11426822517387</v>
      </c>
      <c r="L206" s="9">
        <f>$B206*'Kroger Payments'!J$19</f>
        <v>923.27817707913039</v>
      </c>
      <c r="M206" s="9">
        <f>$B206*'Kroger Payments'!K$19</f>
        <v>923.27817707913039</v>
      </c>
      <c r="N206" s="9">
        <f>$B206*'Kroger Payments'!L$19</f>
        <v>923.27817707913039</v>
      </c>
      <c r="O206" s="9">
        <f>$B206*'Kroger Payments'!M$19</f>
        <v>923.27817716376421</v>
      </c>
      <c r="P206" s="7">
        <f t="shared" si="7"/>
        <v>9832.9125859773721</v>
      </c>
    </row>
    <row r="207" spans="1:16" x14ac:dyDescent="0.35">
      <c r="A207" s="3" t="s">
        <v>230</v>
      </c>
      <c r="B207" s="16">
        <v>1.9242159500000001E-3</v>
      </c>
      <c r="C207" s="8" t="s">
        <v>230</v>
      </c>
      <c r="D207" s="8" t="str">
        <f t="shared" si="8"/>
        <v>No</v>
      </c>
      <c r="E207" s="9">
        <f>$B207*'Kroger Payments'!C$19</f>
        <v>3482.6636574122331</v>
      </c>
      <c r="F207" s="9">
        <f>$B207*'Kroger Payments'!D$19</f>
        <v>3482.6636574122331</v>
      </c>
      <c r="G207" s="9">
        <f>$B207*'Kroger Payments'!E$19</f>
        <v>3482.6636574122331</v>
      </c>
      <c r="H207" s="9">
        <f>$B207*'Kroger Payments'!F$19</f>
        <v>3482.6636574122331</v>
      </c>
      <c r="I207" s="9">
        <f>$B207*'Kroger Payments'!G$19</f>
        <v>3482.6636574122331</v>
      </c>
      <c r="J207" s="9">
        <f>$B207*'Kroger Payments'!H$19</f>
        <v>3482.6636574122331</v>
      </c>
      <c r="K207" s="9">
        <f>$B207*'Kroger Payments'!I$19</f>
        <v>3482.6636574122331</v>
      </c>
      <c r="L207" s="9">
        <f>$B207*'Kroger Payments'!J$19</f>
        <v>3665.9617446444558</v>
      </c>
      <c r="M207" s="9">
        <f>$B207*'Kroger Payments'!K$19</f>
        <v>3665.9617446444558</v>
      </c>
      <c r="N207" s="9">
        <f>$B207*'Kroger Payments'!L$19</f>
        <v>3665.9617446444558</v>
      </c>
      <c r="O207" s="9">
        <f>$B207*'Kroger Payments'!M$19</f>
        <v>3665.9617449805023</v>
      </c>
      <c r="P207" s="7">
        <f t="shared" si="7"/>
        <v>39042.492580799495</v>
      </c>
    </row>
    <row r="208" spans="1:16" x14ac:dyDescent="0.35">
      <c r="A208" s="3" t="s">
        <v>231</v>
      </c>
      <c r="B208" s="16">
        <v>9.8170287000000009E-4</v>
      </c>
      <c r="C208" s="8" t="s">
        <v>231</v>
      </c>
      <c r="D208" s="8" t="str">
        <f t="shared" si="8"/>
        <v>No</v>
      </c>
      <c r="E208" s="9">
        <f>$B208*'Kroger Payments'!C$19</f>
        <v>1776.7968858829415</v>
      </c>
      <c r="F208" s="9">
        <f>$B208*'Kroger Payments'!D$19</f>
        <v>1776.7968858829415</v>
      </c>
      <c r="G208" s="9">
        <f>$B208*'Kroger Payments'!E$19</f>
        <v>1776.7968858829415</v>
      </c>
      <c r="H208" s="9">
        <f>$B208*'Kroger Payments'!F$19</f>
        <v>1776.7968858829415</v>
      </c>
      <c r="I208" s="9">
        <f>$B208*'Kroger Payments'!G$19</f>
        <v>1776.7968858829415</v>
      </c>
      <c r="J208" s="9">
        <f>$B208*'Kroger Payments'!H$19</f>
        <v>1776.7968858829415</v>
      </c>
      <c r="K208" s="9">
        <f>$B208*'Kroger Payments'!I$19</f>
        <v>1776.7968858829415</v>
      </c>
      <c r="L208" s="9">
        <f>$B208*'Kroger Payments'!J$19</f>
        <v>1870.3125114557281</v>
      </c>
      <c r="M208" s="9">
        <f>$B208*'Kroger Payments'!K$19</f>
        <v>1870.3125114557281</v>
      </c>
      <c r="N208" s="9">
        <f>$B208*'Kroger Payments'!L$19</f>
        <v>1870.3125114557281</v>
      </c>
      <c r="O208" s="9">
        <f>$B208*'Kroger Payments'!M$19</f>
        <v>1870.3125116271733</v>
      </c>
      <c r="P208" s="7">
        <f t="shared" si="7"/>
        <v>19918.828247174948</v>
      </c>
    </row>
    <row r="209" spans="1:16" x14ac:dyDescent="0.35">
      <c r="A209" s="3" t="s">
        <v>83</v>
      </c>
      <c r="B209" s="16">
        <v>1.2438980600000001E-4</v>
      </c>
      <c r="C209" s="8" t="s">
        <v>232</v>
      </c>
      <c r="D209" s="8" t="str">
        <f t="shared" si="8"/>
        <v>No</v>
      </c>
      <c r="E209" s="9">
        <f>$B209*'Kroger Payments'!C$19</f>
        <v>225.13473953313721</v>
      </c>
      <c r="F209" s="9">
        <f>$B209*'Kroger Payments'!D$19</f>
        <v>225.13473953313721</v>
      </c>
      <c r="G209" s="9">
        <f>$B209*'Kroger Payments'!E$19</f>
        <v>225.13473953313721</v>
      </c>
      <c r="H209" s="9">
        <f>$B209*'Kroger Payments'!F$19</f>
        <v>225.13473953313721</v>
      </c>
      <c r="I209" s="9">
        <f>$B209*'Kroger Payments'!G$19</f>
        <v>225.13473953313721</v>
      </c>
      <c r="J209" s="9">
        <f>$B209*'Kroger Payments'!H$19</f>
        <v>225.13473953313721</v>
      </c>
      <c r="K209" s="9">
        <f>$B209*'Kroger Payments'!I$19</f>
        <v>225.13473953313721</v>
      </c>
      <c r="L209" s="9">
        <f>$B209*'Kroger Payments'!J$19</f>
        <v>236.98393635067075</v>
      </c>
      <c r="M209" s="9">
        <f>$B209*'Kroger Payments'!K$19</f>
        <v>236.98393635067075</v>
      </c>
      <c r="N209" s="9">
        <f>$B209*'Kroger Payments'!L$19</f>
        <v>236.98393635067075</v>
      </c>
      <c r="O209" s="9">
        <f>$B209*'Kroger Payments'!M$19</f>
        <v>236.98393637239425</v>
      </c>
      <c r="P209" s="7">
        <f t="shared" si="7"/>
        <v>2523.8789221563666</v>
      </c>
    </row>
    <row r="210" spans="1:16" x14ac:dyDescent="0.35">
      <c r="A210" s="3" t="s">
        <v>233</v>
      </c>
      <c r="B210" s="16">
        <v>2.8385767750000001E-3</v>
      </c>
      <c r="C210" s="8" t="s">
        <v>233</v>
      </c>
      <c r="D210" s="8" t="str">
        <f t="shared" si="8"/>
        <v>No</v>
      </c>
      <c r="E210" s="9">
        <f>$B210*'Kroger Payments'!C$19</f>
        <v>5137.5772937891516</v>
      </c>
      <c r="F210" s="9">
        <f>$B210*'Kroger Payments'!D$19</f>
        <v>5137.5772937891516</v>
      </c>
      <c r="G210" s="9">
        <f>$B210*'Kroger Payments'!E$19</f>
        <v>5137.5772937891516</v>
      </c>
      <c r="H210" s="9">
        <f>$B210*'Kroger Payments'!F$19</f>
        <v>5137.5772937891516</v>
      </c>
      <c r="I210" s="9">
        <f>$B210*'Kroger Payments'!G$19</f>
        <v>5137.5772937891516</v>
      </c>
      <c r="J210" s="9">
        <f>$B210*'Kroger Payments'!H$19</f>
        <v>5137.5772937891516</v>
      </c>
      <c r="K210" s="9">
        <f>$B210*'Kroger Payments'!I$19</f>
        <v>5137.5772937891516</v>
      </c>
      <c r="L210" s="9">
        <f>$B210*'Kroger Payments'!J$19</f>
        <v>5407.9760987254231</v>
      </c>
      <c r="M210" s="9">
        <f>$B210*'Kroger Payments'!K$19</f>
        <v>5407.9760987254231</v>
      </c>
      <c r="N210" s="9">
        <f>$B210*'Kroger Payments'!L$19</f>
        <v>5407.9760987254231</v>
      </c>
      <c r="O210" s="9">
        <f>$B210*'Kroger Payments'!M$19</f>
        <v>5407.9760992211541</v>
      </c>
      <c r="P210" s="7">
        <f t="shared" si="7"/>
        <v>57594.945451921492</v>
      </c>
    </row>
    <row r="211" spans="1:16" x14ac:dyDescent="0.35">
      <c r="A211" s="3" t="s">
        <v>24</v>
      </c>
      <c r="B211" s="16">
        <v>1.4829589190000001E-2</v>
      </c>
      <c r="C211" s="8" t="s">
        <v>24</v>
      </c>
      <c r="D211" s="8" t="str">
        <f t="shared" si="8"/>
        <v>No</v>
      </c>
      <c r="E211" s="9">
        <f>$B211*'Kroger Payments'!C$19</f>
        <v>26840.267760157749</v>
      </c>
      <c r="F211" s="9">
        <f>$B211*'Kroger Payments'!D$19</f>
        <v>26840.267760157749</v>
      </c>
      <c r="G211" s="9">
        <f>$B211*'Kroger Payments'!E$19</f>
        <v>26840.267760157749</v>
      </c>
      <c r="H211" s="9">
        <f>$B211*'Kroger Payments'!F$19</f>
        <v>26840.267760157749</v>
      </c>
      <c r="I211" s="9">
        <f>$B211*'Kroger Payments'!G$19</f>
        <v>26840.267760157749</v>
      </c>
      <c r="J211" s="9">
        <f>$B211*'Kroger Payments'!H$19</f>
        <v>26840.267760157749</v>
      </c>
      <c r="K211" s="9">
        <f>$B211*'Kroger Payments'!I$19</f>
        <v>26840.267760157749</v>
      </c>
      <c r="L211" s="9">
        <f>$B211*'Kroger Payments'!J$19</f>
        <v>28252.913431745001</v>
      </c>
      <c r="M211" s="9">
        <f>$B211*'Kroger Payments'!K$19</f>
        <v>28252.913431745001</v>
      </c>
      <c r="N211" s="9">
        <f>$B211*'Kroger Payments'!L$19</f>
        <v>28252.913431745001</v>
      </c>
      <c r="O211" s="9">
        <f>$B211*'Kroger Payments'!M$19</f>
        <v>28252.913434334849</v>
      </c>
      <c r="P211" s="7">
        <f t="shared" si="7"/>
        <v>300893.52805067413</v>
      </c>
    </row>
    <row r="212" spans="1:16" x14ac:dyDescent="0.35">
      <c r="A212" s="3" t="s">
        <v>234</v>
      </c>
      <c r="B212" s="16">
        <v>6.0039192000000004E-4</v>
      </c>
      <c r="C212" s="8" t="s">
        <v>235</v>
      </c>
      <c r="D212" s="8" t="str">
        <f t="shared" si="8"/>
        <v>No</v>
      </c>
      <c r="E212" s="9">
        <f>$B212*'Kroger Payments'!C$19</f>
        <v>1086.6572018530212</v>
      </c>
      <c r="F212" s="9">
        <f>$B212*'Kroger Payments'!D$19</f>
        <v>1086.6572018530212</v>
      </c>
      <c r="G212" s="9">
        <f>$B212*'Kroger Payments'!E$19</f>
        <v>1086.6572018530212</v>
      </c>
      <c r="H212" s="9">
        <f>$B212*'Kroger Payments'!F$19</f>
        <v>1086.6572018530212</v>
      </c>
      <c r="I212" s="9">
        <f>$B212*'Kroger Payments'!G$19</f>
        <v>1086.6572018530212</v>
      </c>
      <c r="J212" s="9">
        <f>$B212*'Kroger Payments'!H$19</f>
        <v>1086.6572018530212</v>
      </c>
      <c r="K212" s="9">
        <f>$B212*'Kroger Payments'!I$19</f>
        <v>1086.6572018530212</v>
      </c>
      <c r="L212" s="9">
        <f>$B212*'Kroger Payments'!J$19</f>
        <v>1143.8496861610749</v>
      </c>
      <c r="M212" s="9">
        <f>$B212*'Kroger Payments'!K$19</f>
        <v>1143.8496861610749</v>
      </c>
      <c r="N212" s="9">
        <f>$B212*'Kroger Payments'!L$19</f>
        <v>1143.8496861610749</v>
      </c>
      <c r="O212" s="9">
        <f>$B212*'Kroger Payments'!M$19</f>
        <v>1143.8496862659279</v>
      </c>
      <c r="P212" s="7">
        <f t="shared" si="7"/>
        <v>12181.999157720302</v>
      </c>
    </row>
    <row r="213" spans="1:16" x14ac:dyDescent="0.35">
      <c r="A213" s="3" t="s">
        <v>34</v>
      </c>
      <c r="B213" s="16">
        <v>2.20651355E-4</v>
      </c>
      <c r="C213" s="8" t="s">
        <v>236</v>
      </c>
      <c r="D213" s="8" t="str">
        <f t="shared" si="8"/>
        <v>No</v>
      </c>
      <c r="E213" s="9">
        <f>$B213*'Kroger Payments'!C$19</f>
        <v>399.35977820850354</v>
      </c>
      <c r="F213" s="9">
        <f>$B213*'Kroger Payments'!D$19</f>
        <v>399.35977820850354</v>
      </c>
      <c r="G213" s="9">
        <f>$B213*'Kroger Payments'!E$19</f>
        <v>399.35977820850354</v>
      </c>
      <c r="H213" s="9">
        <f>$B213*'Kroger Payments'!F$19</f>
        <v>399.35977820850354</v>
      </c>
      <c r="I213" s="9">
        <f>$B213*'Kroger Payments'!G$19</f>
        <v>399.35977820850354</v>
      </c>
      <c r="J213" s="9">
        <f>$B213*'Kroger Payments'!H$19</f>
        <v>399.35977820850354</v>
      </c>
      <c r="K213" s="9">
        <f>$B213*'Kroger Payments'!I$19</f>
        <v>399.35977820850354</v>
      </c>
      <c r="L213" s="9">
        <f>$B213*'Kroger Payments'!J$19</f>
        <v>420.37871390368798</v>
      </c>
      <c r="M213" s="9">
        <f>$B213*'Kroger Payments'!K$19</f>
        <v>420.37871390368798</v>
      </c>
      <c r="N213" s="9">
        <f>$B213*'Kroger Payments'!L$19</f>
        <v>420.37871390368798</v>
      </c>
      <c r="O213" s="9">
        <f>$B213*'Kroger Payments'!M$19</f>
        <v>420.3787139422227</v>
      </c>
      <c r="P213" s="7">
        <f t="shared" si="7"/>
        <v>4477.0333031128121</v>
      </c>
    </row>
    <row r="214" spans="1:16" x14ac:dyDescent="0.35">
      <c r="A214" s="3" t="s">
        <v>24</v>
      </c>
      <c r="B214" s="16">
        <v>6.9409956999999997E-5</v>
      </c>
      <c r="C214" s="8" t="s">
        <v>237</v>
      </c>
      <c r="D214" s="8" t="str">
        <f t="shared" si="8"/>
        <v>No</v>
      </c>
      <c r="E214" s="9">
        <f>$B214*'Kroger Payments'!C$19</f>
        <v>125.62599052691867</v>
      </c>
      <c r="F214" s="9">
        <f>$B214*'Kroger Payments'!D$19</f>
        <v>125.62599052691867</v>
      </c>
      <c r="G214" s="9">
        <f>$B214*'Kroger Payments'!E$19</f>
        <v>125.62599052691867</v>
      </c>
      <c r="H214" s="9">
        <f>$B214*'Kroger Payments'!F$19</f>
        <v>125.62599052691867</v>
      </c>
      <c r="I214" s="9">
        <f>$B214*'Kroger Payments'!G$19</f>
        <v>125.62599052691867</v>
      </c>
      <c r="J214" s="9">
        <f>$B214*'Kroger Payments'!H$19</f>
        <v>125.62599052691867</v>
      </c>
      <c r="K214" s="9">
        <f>$B214*'Kroger Payments'!I$19</f>
        <v>125.62599052691867</v>
      </c>
      <c r="L214" s="9">
        <f>$B214*'Kroger Payments'!J$19</f>
        <v>132.23788476517754</v>
      </c>
      <c r="M214" s="9">
        <f>$B214*'Kroger Payments'!K$19</f>
        <v>132.23788476517754</v>
      </c>
      <c r="N214" s="9">
        <f>$B214*'Kroger Payments'!L$19</f>
        <v>132.23788476517754</v>
      </c>
      <c r="O214" s="9">
        <f>$B214*'Kroger Payments'!M$19</f>
        <v>132.23788477729934</v>
      </c>
      <c r="P214" s="7">
        <f t="shared" si="7"/>
        <v>1408.3334727612628</v>
      </c>
    </row>
    <row r="215" spans="1:16" x14ac:dyDescent="0.35">
      <c r="A215" s="3" t="s">
        <v>28</v>
      </c>
      <c r="B215" s="16">
        <v>2.5430390500000001E-4</v>
      </c>
      <c r="C215" s="8" t="s">
        <v>238</v>
      </c>
      <c r="D215" s="8" t="str">
        <f t="shared" si="8"/>
        <v>No</v>
      </c>
      <c r="E215" s="9">
        <f>$B215*'Kroger Payments'!C$19</f>
        <v>460.26796934175348</v>
      </c>
      <c r="F215" s="9">
        <f>$B215*'Kroger Payments'!D$19</f>
        <v>460.26796934175348</v>
      </c>
      <c r="G215" s="9">
        <f>$B215*'Kroger Payments'!E$19</f>
        <v>460.26796934175348</v>
      </c>
      <c r="H215" s="9">
        <f>$B215*'Kroger Payments'!F$19</f>
        <v>460.26796934175348</v>
      </c>
      <c r="I215" s="9">
        <f>$B215*'Kroger Payments'!G$19</f>
        <v>460.26796934175348</v>
      </c>
      <c r="J215" s="9">
        <f>$B215*'Kroger Payments'!H$19</f>
        <v>460.26796934175348</v>
      </c>
      <c r="K215" s="9">
        <f>$B215*'Kroger Payments'!I$19</f>
        <v>460.26796934175348</v>
      </c>
      <c r="L215" s="9">
        <f>$B215*'Kroger Payments'!J$19</f>
        <v>484.49259930710895</v>
      </c>
      <c r="M215" s="9">
        <f>$B215*'Kroger Payments'!K$19</f>
        <v>484.49259930710895</v>
      </c>
      <c r="N215" s="9">
        <f>$B215*'Kroger Payments'!L$19</f>
        <v>484.49259930710895</v>
      </c>
      <c r="O215" s="9">
        <f>$B215*'Kroger Payments'!M$19</f>
        <v>484.49259935152077</v>
      </c>
      <c r="P215" s="7">
        <f t="shared" si="7"/>
        <v>5159.8461826651219</v>
      </c>
    </row>
    <row r="216" spans="1:16" x14ac:dyDescent="0.35">
      <c r="A216" s="3" t="s">
        <v>14</v>
      </c>
      <c r="B216" s="16">
        <v>1.4725067499999999E-4</v>
      </c>
      <c r="C216" s="8" t="s">
        <v>239</v>
      </c>
      <c r="D216" s="8" t="str">
        <f t="shared" si="8"/>
        <v>No</v>
      </c>
      <c r="E216" s="9">
        <f>$B216*'Kroger Payments'!C$19</f>
        <v>266.51092584068851</v>
      </c>
      <c r="F216" s="9">
        <f>$B216*'Kroger Payments'!D$19</f>
        <v>266.51092584068851</v>
      </c>
      <c r="G216" s="9">
        <f>$B216*'Kroger Payments'!E$19</f>
        <v>266.51092584068851</v>
      </c>
      <c r="H216" s="9">
        <f>$B216*'Kroger Payments'!F$19</f>
        <v>266.51092584068851</v>
      </c>
      <c r="I216" s="9">
        <f>$B216*'Kroger Payments'!G$19</f>
        <v>266.51092584068851</v>
      </c>
      <c r="J216" s="9">
        <f>$B216*'Kroger Payments'!H$19</f>
        <v>266.51092584068851</v>
      </c>
      <c r="K216" s="9">
        <f>$B216*'Kroger Payments'!I$19</f>
        <v>266.51092584068851</v>
      </c>
      <c r="L216" s="9">
        <f>$B216*'Kroger Payments'!J$19</f>
        <v>280.53781667440899</v>
      </c>
      <c r="M216" s="9">
        <f>$B216*'Kroger Payments'!K$19</f>
        <v>280.53781667440899</v>
      </c>
      <c r="N216" s="9">
        <f>$B216*'Kroger Payments'!L$19</f>
        <v>280.53781667440899</v>
      </c>
      <c r="O216" s="9">
        <f>$B216*'Kroger Payments'!M$19</f>
        <v>280.53781670012495</v>
      </c>
      <c r="P216" s="7">
        <f t="shared" si="7"/>
        <v>2987.7277476081713</v>
      </c>
    </row>
    <row r="217" spans="1:16" x14ac:dyDescent="0.35">
      <c r="A217" s="3" t="s">
        <v>22</v>
      </c>
      <c r="B217" s="16">
        <v>6.1904696799999998E-4</v>
      </c>
      <c r="C217" s="8" t="s">
        <v>240</v>
      </c>
      <c r="D217" s="8" t="str">
        <f t="shared" si="8"/>
        <v>No</v>
      </c>
      <c r="E217" s="9">
        <f>$B217*'Kroger Payments'!C$19</f>
        <v>1120.4212176314377</v>
      </c>
      <c r="F217" s="9">
        <f>$B217*'Kroger Payments'!D$19</f>
        <v>1120.4212176314377</v>
      </c>
      <c r="G217" s="9">
        <f>$B217*'Kroger Payments'!E$19</f>
        <v>1120.4212176314377</v>
      </c>
      <c r="H217" s="9">
        <f>$B217*'Kroger Payments'!F$19</f>
        <v>1120.4212176314377</v>
      </c>
      <c r="I217" s="9">
        <f>$B217*'Kroger Payments'!G$19</f>
        <v>1120.4212176314377</v>
      </c>
      <c r="J217" s="9">
        <f>$B217*'Kroger Payments'!H$19</f>
        <v>1120.4212176314377</v>
      </c>
      <c r="K217" s="9">
        <f>$B217*'Kroger Payments'!I$19</f>
        <v>1120.4212176314377</v>
      </c>
      <c r="L217" s="9">
        <f>$B217*'Kroger Payments'!J$19</f>
        <v>1179.3907554015134</v>
      </c>
      <c r="M217" s="9">
        <f>$B217*'Kroger Payments'!K$19</f>
        <v>1179.3907554015134</v>
      </c>
      <c r="N217" s="9">
        <f>$B217*'Kroger Payments'!L$19</f>
        <v>1179.3907554015134</v>
      </c>
      <c r="O217" s="9">
        <f>$B217*'Kroger Payments'!M$19</f>
        <v>1179.3907555096241</v>
      </c>
      <c r="P217" s="7">
        <f t="shared" si="7"/>
        <v>12560.511545134228</v>
      </c>
    </row>
    <row r="218" spans="1:16" x14ac:dyDescent="0.35">
      <c r="A218" s="3" t="s">
        <v>34</v>
      </c>
      <c r="B218" s="16">
        <v>3.0078703029999998E-3</v>
      </c>
      <c r="C218" s="8" t="s">
        <v>241</v>
      </c>
      <c r="D218" s="8" t="str">
        <f t="shared" si="8"/>
        <v>No</v>
      </c>
      <c r="E218" s="9">
        <f>$B218*'Kroger Payments'!C$19</f>
        <v>5443.9838680620123</v>
      </c>
      <c r="F218" s="9">
        <f>$B218*'Kroger Payments'!D$19</f>
        <v>5443.9838680620123</v>
      </c>
      <c r="G218" s="9">
        <f>$B218*'Kroger Payments'!E$19</f>
        <v>5443.9838680620123</v>
      </c>
      <c r="H218" s="9">
        <f>$B218*'Kroger Payments'!F$19</f>
        <v>5443.9838680620123</v>
      </c>
      <c r="I218" s="9">
        <f>$B218*'Kroger Payments'!G$19</f>
        <v>5443.9838680620123</v>
      </c>
      <c r="J218" s="9">
        <f>$B218*'Kroger Payments'!H$19</f>
        <v>5443.9838680620123</v>
      </c>
      <c r="K218" s="9">
        <f>$B218*'Kroger Payments'!I$19</f>
        <v>5443.9838680620123</v>
      </c>
      <c r="L218" s="9">
        <f>$B218*'Kroger Payments'!J$19</f>
        <v>5730.5093348021192</v>
      </c>
      <c r="M218" s="9">
        <f>$B218*'Kroger Payments'!K$19</f>
        <v>5730.5093348021192</v>
      </c>
      <c r="N218" s="9">
        <f>$B218*'Kroger Payments'!L$19</f>
        <v>5730.5093348021192</v>
      </c>
      <c r="O218" s="9">
        <f>$B218*'Kroger Payments'!M$19</f>
        <v>5730.5093353274151</v>
      </c>
      <c r="P218" s="7">
        <f t="shared" si="7"/>
        <v>61029.924416167851</v>
      </c>
    </row>
    <row r="219" spans="1:16" x14ac:dyDescent="0.35">
      <c r="A219" s="3" t="s">
        <v>121</v>
      </c>
      <c r="B219" s="16">
        <v>1.4433707699999999E-4</v>
      </c>
      <c r="C219" s="8" t="s">
        <v>242</v>
      </c>
      <c r="D219" s="8" t="str">
        <f t="shared" si="8"/>
        <v>No</v>
      </c>
      <c r="E219" s="9">
        <f>$B219*'Kroger Payments'!C$19</f>
        <v>261.23756664890499</v>
      </c>
      <c r="F219" s="9">
        <f>$B219*'Kroger Payments'!D$19</f>
        <v>261.23756664890499</v>
      </c>
      <c r="G219" s="9">
        <f>$B219*'Kroger Payments'!E$19</f>
        <v>261.23756664890499</v>
      </c>
      <c r="H219" s="9">
        <f>$B219*'Kroger Payments'!F$19</f>
        <v>261.23756664890499</v>
      </c>
      <c r="I219" s="9">
        <f>$B219*'Kroger Payments'!G$19</f>
        <v>261.23756664890499</v>
      </c>
      <c r="J219" s="9">
        <f>$B219*'Kroger Payments'!H$19</f>
        <v>261.23756664890499</v>
      </c>
      <c r="K219" s="9">
        <f>$B219*'Kroger Payments'!I$19</f>
        <v>261.23756664890499</v>
      </c>
      <c r="L219" s="9">
        <f>$B219*'Kroger Payments'!J$19</f>
        <v>274.98691226200526</v>
      </c>
      <c r="M219" s="9">
        <f>$B219*'Kroger Payments'!K$19</f>
        <v>274.98691226200526</v>
      </c>
      <c r="N219" s="9">
        <f>$B219*'Kroger Payments'!L$19</f>
        <v>274.98691226200526</v>
      </c>
      <c r="O219" s="9">
        <f>$B219*'Kroger Payments'!M$19</f>
        <v>274.98691228721236</v>
      </c>
      <c r="P219" s="7">
        <f t="shared" si="7"/>
        <v>2928.6106156155629</v>
      </c>
    </row>
    <row r="220" spans="1:16" x14ac:dyDescent="0.35">
      <c r="A220" s="3" t="s">
        <v>121</v>
      </c>
      <c r="B220" s="16">
        <v>2.6058260600000001E-3</v>
      </c>
      <c r="C220" s="8" t="s">
        <v>243</v>
      </c>
      <c r="D220" s="8" t="str">
        <f t="shared" si="8"/>
        <v>No</v>
      </c>
      <c r="E220" s="9">
        <f>$B220*'Kroger Payments'!C$19</f>
        <v>4716.3187254007062</v>
      </c>
      <c r="F220" s="9">
        <f>$B220*'Kroger Payments'!D$19</f>
        <v>4716.3187254007062</v>
      </c>
      <c r="G220" s="9">
        <f>$B220*'Kroger Payments'!E$19</f>
        <v>4716.3187254007062</v>
      </c>
      <c r="H220" s="9">
        <f>$B220*'Kroger Payments'!F$19</f>
        <v>4716.3187254007062</v>
      </c>
      <c r="I220" s="9">
        <f>$B220*'Kroger Payments'!G$19</f>
        <v>4716.3187254007062</v>
      </c>
      <c r="J220" s="9">
        <f>$B220*'Kroger Payments'!H$19</f>
        <v>4716.3187254007062</v>
      </c>
      <c r="K220" s="9">
        <f>$B220*'Kroger Payments'!I$19</f>
        <v>4716.3187254007062</v>
      </c>
      <c r="L220" s="9">
        <f>$B220*'Kroger Payments'!J$19</f>
        <v>4964.5460267375856</v>
      </c>
      <c r="M220" s="9">
        <f>$B220*'Kroger Payments'!K$19</f>
        <v>4964.5460267375856</v>
      </c>
      <c r="N220" s="9">
        <f>$B220*'Kroger Payments'!L$19</f>
        <v>4964.5460267375856</v>
      </c>
      <c r="O220" s="9">
        <f>$B220*'Kroger Payments'!M$19</f>
        <v>4964.5460271926686</v>
      </c>
      <c r="P220" s="7">
        <f t="shared" si="7"/>
        <v>52872.415185210382</v>
      </c>
    </row>
    <row r="221" spans="1:16" x14ac:dyDescent="0.35">
      <c r="A221" s="3" t="s">
        <v>83</v>
      </c>
      <c r="B221" s="16">
        <v>9.8217805100000001E-4</v>
      </c>
      <c r="C221" s="8" t="s">
        <v>244</v>
      </c>
      <c r="D221" s="8" t="str">
        <f t="shared" si="8"/>
        <v>No</v>
      </c>
      <c r="E221" s="9">
        <f>$B221*'Kroger Payments'!C$19</f>
        <v>1777.6569222002752</v>
      </c>
      <c r="F221" s="9">
        <f>$B221*'Kroger Payments'!D$19</f>
        <v>1777.6569222002752</v>
      </c>
      <c r="G221" s="9">
        <f>$B221*'Kroger Payments'!E$19</f>
        <v>1777.6569222002752</v>
      </c>
      <c r="H221" s="9">
        <f>$B221*'Kroger Payments'!F$19</f>
        <v>1777.6569222002752</v>
      </c>
      <c r="I221" s="9">
        <f>$B221*'Kroger Payments'!G$19</f>
        <v>1777.6569222002752</v>
      </c>
      <c r="J221" s="9">
        <f>$B221*'Kroger Payments'!H$19</f>
        <v>1777.6569222002752</v>
      </c>
      <c r="K221" s="9">
        <f>$B221*'Kroger Payments'!I$19</f>
        <v>1777.6569222002752</v>
      </c>
      <c r="L221" s="9">
        <f>$B221*'Kroger Payments'!J$19</f>
        <v>1871.217812842395</v>
      </c>
      <c r="M221" s="9">
        <f>$B221*'Kroger Payments'!K$19</f>
        <v>1871.217812842395</v>
      </c>
      <c r="N221" s="9">
        <f>$B221*'Kroger Payments'!L$19</f>
        <v>1871.217812842395</v>
      </c>
      <c r="O221" s="9">
        <f>$B221*'Kroger Payments'!M$19</f>
        <v>1871.2178130139232</v>
      </c>
      <c r="P221" s="7">
        <f t="shared" si="7"/>
        <v>19928.469706943033</v>
      </c>
    </row>
    <row r="222" spans="1:16" x14ac:dyDescent="0.35">
      <c r="A222" s="3" t="s">
        <v>245</v>
      </c>
      <c r="B222" s="16">
        <v>1.455220353E-3</v>
      </c>
      <c r="C222" s="8" t="s">
        <v>245</v>
      </c>
      <c r="D222" s="8" t="str">
        <f t="shared" si="8"/>
        <v>No</v>
      </c>
      <c r="E222" s="9">
        <f>$B222*'Kroger Payments'!C$19</f>
        <v>2633.8223820043177</v>
      </c>
      <c r="F222" s="9">
        <f>$B222*'Kroger Payments'!D$19</f>
        <v>2633.8223820043177</v>
      </c>
      <c r="G222" s="9">
        <f>$B222*'Kroger Payments'!E$19</f>
        <v>2633.8223820043177</v>
      </c>
      <c r="H222" s="9">
        <f>$B222*'Kroger Payments'!F$19</f>
        <v>2633.8223820043177</v>
      </c>
      <c r="I222" s="9">
        <f>$B222*'Kroger Payments'!G$19</f>
        <v>2633.8223820043177</v>
      </c>
      <c r="J222" s="9">
        <f>$B222*'Kroger Payments'!H$19</f>
        <v>2633.8223820043177</v>
      </c>
      <c r="K222" s="9">
        <f>$B222*'Kroger Payments'!I$19</f>
        <v>2633.8223820043177</v>
      </c>
      <c r="L222" s="9">
        <f>$B222*'Kroger Payments'!J$19</f>
        <v>2772.4446126361236</v>
      </c>
      <c r="M222" s="9">
        <f>$B222*'Kroger Payments'!K$19</f>
        <v>2772.4446126361236</v>
      </c>
      <c r="N222" s="9">
        <f>$B222*'Kroger Payments'!L$19</f>
        <v>2772.4446126361236</v>
      </c>
      <c r="O222" s="9">
        <f>$B222*'Kroger Payments'!M$19</f>
        <v>2772.4446128902646</v>
      </c>
      <c r="P222" s="7">
        <f t="shared" si="7"/>
        <v>29526.53512482885</v>
      </c>
    </row>
    <row r="223" spans="1:16" x14ac:dyDescent="0.35">
      <c r="A223" s="3" t="s">
        <v>22</v>
      </c>
      <c r="B223" s="16">
        <v>2.1197613710000002E-3</v>
      </c>
      <c r="C223" s="8" t="s">
        <v>246</v>
      </c>
      <c r="D223" s="8" t="str">
        <f t="shared" si="8"/>
        <v>No</v>
      </c>
      <c r="E223" s="9">
        <f>$B223*'Kroger Payments'!C$19</f>
        <v>3836.5838767566756</v>
      </c>
      <c r="F223" s="9">
        <f>$B223*'Kroger Payments'!D$19</f>
        <v>3836.5838767566756</v>
      </c>
      <c r="G223" s="9">
        <f>$B223*'Kroger Payments'!E$19</f>
        <v>3836.5838767566756</v>
      </c>
      <c r="H223" s="9">
        <f>$B223*'Kroger Payments'!F$19</f>
        <v>3836.5838767566756</v>
      </c>
      <c r="I223" s="9">
        <f>$B223*'Kroger Payments'!G$19</f>
        <v>3836.5838767566756</v>
      </c>
      <c r="J223" s="9">
        <f>$B223*'Kroger Payments'!H$19</f>
        <v>3836.5838767566756</v>
      </c>
      <c r="K223" s="9">
        <f>$B223*'Kroger Payments'!I$19</f>
        <v>3836.5838767566756</v>
      </c>
      <c r="L223" s="9">
        <f>$B223*'Kroger Payments'!J$19</f>
        <v>4038.5093439543957</v>
      </c>
      <c r="M223" s="9">
        <f>$B223*'Kroger Payments'!K$19</f>
        <v>4038.5093439543957</v>
      </c>
      <c r="N223" s="9">
        <f>$B223*'Kroger Payments'!L$19</f>
        <v>4038.5093439543957</v>
      </c>
      <c r="O223" s="9">
        <f>$B223*'Kroger Payments'!M$19</f>
        <v>4038.5093443245923</v>
      </c>
      <c r="P223" s="7">
        <f t="shared" si="7"/>
        <v>43010.124513484501</v>
      </c>
    </row>
    <row r="224" spans="1:16" x14ac:dyDescent="0.35">
      <c r="A224" s="3" t="s">
        <v>22</v>
      </c>
      <c r="B224" s="16">
        <v>4.8262613100000002E-4</v>
      </c>
      <c r="C224" s="8" t="s">
        <v>247</v>
      </c>
      <c r="D224" s="8" t="str">
        <f t="shared" si="8"/>
        <v>No</v>
      </c>
      <c r="E224" s="9">
        <f>$B224*'Kroger Payments'!C$19</f>
        <v>873.5113574706495</v>
      </c>
      <c r="F224" s="9">
        <f>$B224*'Kroger Payments'!D$19</f>
        <v>873.5113574706495</v>
      </c>
      <c r="G224" s="9">
        <f>$B224*'Kroger Payments'!E$19</f>
        <v>873.5113574706495</v>
      </c>
      <c r="H224" s="9">
        <f>$B224*'Kroger Payments'!F$19</f>
        <v>873.5113574706495</v>
      </c>
      <c r="I224" s="9">
        <f>$B224*'Kroger Payments'!G$19</f>
        <v>873.5113574706495</v>
      </c>
      <c r="J224" s="9">
        <f>$B224*'Kroger Payments'!H$19</f>
        <v>873.5113574706495</v>
      </c>
      <c r="K224" s="9">
        <f>$B224*'Kroger Payments'!I$19</f>
        <v>873.5113574706495</v>
      </c>
      <c r="L224" s="9">
        <f>$B224*'Kroger Payments'!J$19</f>
        <v>919.48563944278897</v>
      </c>
      <c r="M224" s="9">
        <f>$B224*'Kroger Payments'!K$19</f>
        <v>919.48563944278897</v>
      </c>
      <c r="N224" s="9">
        <f>$B224*'Kroger Payments'!L$19</f>
        <v>919.48563944278897</v>
      </c>
      <c r="O224" s="9">
        <f>$B224*'Kroger Payments'!M$19</f>
        <v>919.48563952707514</v>
      </c>
      <c r="P224" s="7">
        <f t="shared" si="7"/>
        <v>9792.5220601499877</v>
      </c>
    </row>
    <row r="225" spans="1:16" x14ac:dyDescent="0.35">
      <c r="A225" s="3" t="s">
        <v>34</v>
      </c>
      <c r="B225" s="16">
        <v>3.9919438100000001E-4</v>
      </c>
      <c r="C225" s="8" t="s">
        <v>248</v>
      </c>
      <c r="D225" s="8" t="str">
        <f t="shared" si="8"/>
        <v>No</v>
      </c>
      <c r="E225" s="9">
        <f>$B225*'Kroger Payments'!C$19</f>
        <v>722.50714009094065</v>
      </c>
      <c r="F225" s="9">
        <f>$B225*'Kroger Payments'!D$19</f>
        <v>722.50714009094065</v>
      </c>
      <c r="G225" s="9">
        <f>$B225*'Kroger Payments'!E$19</f>
        <v>722.50714009094065</v>
      </c>
      <c r="H225" s="9">
        <f>$B225*'Kroger Payments'!F$19</f>
        <v>722.50714009094065</v>
      </c>
      <c r="I225" s="9">
        <f>$B225*'Kroger Payments'!G$19</f>
        <v>722.50714009094065</v>
      </c>
      <c r="J225" s="9">
        <f>$B225*'Kroger Payments'!H$19</f>
        <v>722.50714009094065</v>
      </c>
      <c r="K225" s="9">
        <f>$B225*'Kroger Payments'!I$19</f>
        <v>722.50714009094065</v>
      </c>
      <c r="L225" s="9">
        <f>$B225*'Kroger Payments'!J$19</f>
        <v>760.53383167467439</v>
      </c>
      <c r="M225" s="9">
        <f>$B225*'Kroger Payments'!K$19</f>
        <v>760.53383167467439</v>
      </c>
      <c r="N225" s="9">
        <f>$B225*'Kroger Payments'!L$19</f>
        <v>760.53383167467439</v>
      </c>
      <c r="O225" s="9">
        <f>$B225*'Kroger Payments'!M$19</f>
        <v>760.53383174439</v>
      </c>
      <c r="P225" s="7">
        <f t="shared" si="7"/>
        <v>8099.6853074049995</v>
      </c>
    </row>
    <row r="226" spans="1:16" x14ac:dyDescent="0.35">
      <c r="A226" s="3" t="s">
        <v>34</v>
      </c>
      <c r="B226" s="16">
        <v>6.7586650900000004E-4</v>
      </c>
      <c r="C226" s="8" t="s">
        <v>249</v>
      </c>
      <c r="D226" s="8" t="str">
        <f t="shared" si="8"/>
        <v>No</v>
      </c>
      <c r="E226" s="9">
        <f>$B226*'Kroger Payments'!C$19</f>
        <v>1223.2596492905996</v>
      </c>
      <c r="F226" s="9">
        <f>$B226*'Kroger Payments'!D$19</f>
        <v>1223.2596492905996</v>
      </c>
      <c r="G226" s="9">
        <f>$B226*'Kroger Payments'!E$19</f>
        <v>1223.2596492905996</v>
      </c>
      <c r="H226" s="9">
        <f>$B226*'Kroger Payments'!F$19</f>
        <v>1223.2596492905996</v>
      </c>
      <c r="I226" s="9">
        <f>$B226*'Kroger Payments'!G$19</f>
        <v>1223.2596492905996</v>
      </c>
      <c r="J226" s="9">
        <f>$B226*'Kroger Payments'!H$19</f>
        <v>1223.2596492905996</v>
      </c>
      <c r="K226" s="9">
        <f>$B226*'Kroger Payments'!I$19</f>
        <v>1223.2596492905996</v>
      </c>
      <c r="L226" s="9">
        <f>$B226*'Kroger Payments'!J$19</f>
        <v>1287.6417360953681</v>
      </c>
      <c r="M226" s="9">
        <f>$B226*'Kroger Payments'!K$19</f>
        <v>1287.6417360953681</v>
      </c>
      <c r="N226" s="9">
        <f>$B226*'Kroger Payments'!L$19</f>
        <v>1287.6417360953681</v>
      </c>
      <c r="O226" s="9">
        <f>$B226*'Kroger Payments'!M$19</f>
        <v>1287.6417362134018</v>
      </c>
      <c r="P226" s="7">
        <f t="shared" si="7"/>
        <v>13713.384489533701</v>
      </c>
    </row>
    <row r="227" spans="1:16" x14ac:dyDescent="0.35">
      <c r="A227" s="3" t="s">
        <v>22</v>
      </c>
      <c r="B227" s="16">
        <v>9.3129873399999999E-4</v>
      </c>
      <c r="C227" s="8" t="s">
        <v>250</v>
      </c>
      <c r="D227" s="8" t="str">
        <f t="shared" si="8"/>
        <v>No</v>
      </c>
      <c r="E227" s="9">
        <f>$B227*'Kroger Payments'!C$19</f>
        <v>1685.5697797826808</v>
      </c>
      <c r="F227" s="9">
        <f>$B227*'Kroger Payments'!D$19</f>
        <v>1685.5697797826808</v>
      </c>
      <c r="G227" s="9">
        <f>$B227*'Kroger Payments'!E$19</f>
        <v>1685.5697797826808</v>
      </c>
      <c r="H227" s="9">
        <f>$B227*'Kroger Payments'!F$19</f>
        <v>1685.5697797826808</v>
      </c>
      <c r="I227" s="9">
        <f>$B227*'Kroger Payments'!G$19</f>
        <v>1685.5697797826808</v>
      </c>
      <c r="J227" s="9">
        <f>$B227*'Kroger Payments'!H$19</f>
        <v>1685.5697797826808</v>
      </c>
      <c r="K227" s="9">
        <f>$B227*'Kroger Payments'!I$19</f>
        <v>1685.5697797826808</v>
      </c>
      <c r="L227" s="9">
        <f>$B227*'Kroger Payments'!J$19</f>
        <v>1774.2839787186115</v>
      </c>
      <c r="M227" s="9">
        <f>$B227*'Kroger Payments'!K$19</f>
        <v>1774.2839787186115</v>
      </c>
      <c r="N227" s="9">
        <f>$B227*'Kroger Payments'!L$19</f>
        <v>1774.2839787186115</v>
      </c>
      <c r="O227" s="9">
        <f>$B227*'Kroger Payments'!M$19</f>
        <v>1774.2839788812541</v>
      </c>
      <c r="P227" s="7">
        <f t="shared" si="7"/>
        <v>18896.124373515853</v>
      </c>
    </row>
    <row r="228" spans="1:16" x14ac:dyDescent="0.35">
      <c r="A228" s="3" t="s">
        <v>251</v>
      </c>
      <c r="B228" s="16">
        <v>3.840925607E-3</v>
      </c>
      <c r="C228" s="8" t="s">
        <v>251</v>
      </c>
      <c r="D228" s="8" t="str">
        <f t="shared" si="8"/>
        <v>No</v>
      </c>
      <c r="E228" s="9">
        <f>$B228*'Kroger Payments'!C$19</f>
        <v>6951.7415767824396</v>
      </c>
      <c r="F228" s="9">
        <f>$B228*'Kroger Payments'!D$19</f>
        <v>6951.7415767824396</v>
      </c>
      <c r="G228" s="9">
        <f>$B228*'Kroger Payments'!E$19</f>
        <v>6951.7415767824396</v>
      </c>
      <c r="H228" s="9">
        <f>$B228*'Kroger Payments'!F$19</f>
        <v>6951.7415767824396</v>
      </c>
      <c r="I228" s="9">
        <f>$B228*'Kroger Payments'!G$19</f>
        <v>6951.7415767824396</v>
      </c>
      <c r="J228" s="9">
        <f>$B228*'Kroger Payments'!H$19</f>
        <v>6951.7415767824396</v>
      </c>
      <c r="K228" s="9">
        <f>$B228*'Kroger Payments'!I$19</f>
        <v>6951.7415767824396</v>
      </c>
      <c r="L228" s="9">
        <f>$B228*'Kroger Payments'!J$19</f>
        <v>7317.6227124025681</v>
      </c>
      <c r="M228" s="9">
        <f>$B228*'Kroger Payments'!K$19</f>
        <v>7317.6227124025681</v>
      </c>
      <c r="N228" s="9">
        <f>$B228*'Kroger Payments'!L$19</f>
        <v>7317.6227124025681</v>
      </c>
      <c r="O228" s="9">
        <f>$B228*'Kroger Payments'!M$19</f>
        <v>7317.6227130733505</v>
      </c>
      <c r="P228" s="7">
        <f t="shared" si="7"/>
        <v>77932.681887758125</v>
      </c>
    </row>
    <row r="229" spans="1:16" x14ac:dyDescent="0.35">
      <c r="A229" s="3" t="s">
        <v>75</v>
      </c>
      <c r="B229" s="16">
        <v>4.27347449E-3</v>
      </c>
      <c r="C229" s="8" t="s">
        <v>252</v>
      </c>
      <c r="D229" s="8" t="str">
        <f t="shared" si="8"/>
        <v>No</v>
      </c>
      <c r="E229" s="9">
        <f>$B229*'Kroger Payments'!C$19</f>
        <v>7734.6174670266491</v>
      </c>
      <c r="F229" s="9">
        <f>$B229*'Kroger Payments'!D$19</f>
        <v>7734.6174670266491</v>
      </c>
      <c r="G229" s="9">
        <f>$B229*'Kroger Payments'!E$19</f>
        <v>7734.6174670266491</v>
      </c>
      <c r="H229" s="9">
        <f>$B229*'Kroger Payments'!F$19</f>
        <v>7734.6174670266491</v>
      </c>
      <c r="I229" s="9">
        <f>$B229*'Kroger Payments'!G$19</f>
        <v>7734.6174670266491</v>
      </c>
      <c r="J229" s="9">
        <f>$B229*'Kroger Payments'!H$19</f>
        <v>7734.6174670266491</v>
      </c>
      <c r="K229" s="9">
        <f>$B229*'Kroger Payments'!I$19</f>
        <v>7734.6174670266491</v>
      </c>
      <c r="L229" s="9">
        <f>$B229*'Kroger Payments'!J$19</f>
        <v>8141.7025968701564</v>
      </c>
      <c r="M229" s="9">
        <f>$B229*'Kroger Payments'!K$19</f>
        <v>8141.7025968701564</v>
      </c>
      <c r="N229" s="9">
        <f>$B229*'Kroger Payments'!L$19</f>
        <v>8141.7025968701564</v>
      </c>
      <c r="O229" s="9">
        <f>$B229*'Kroger Payments'!M$19</f>
        <v>8141.7025976164796</v>
      </c>
      <c r="P229" s="7">
        <f t="shared" si="7"/>
        <v>86709.132657413487</v>
      </c>
    </row>
    <row r="230" spans="1:16" x14ac:dyDescent="0.35">
      <c r="A230" s="3" t="s">
        <v>34</v>
      </c>
      <c r="B230" s="16">
        <v>2.5960619729999998E-3</v>
      </c>
      <c r="C230" s="8" t="s">
        <v>253</v>
      </c>
      <c r="D230" s="8" t="str">
        <f t="shared" si="8"/>
        <v>No</v>
      </c>
      <c r="E230" s="9">
        <f>$B230*'Kroger Payments'!C$19</f>
        <v>4698.6465764183049</v>
      </c>
      <c r="F230" s="9">
        <f>$B230*'Kroger Payments'!D$19</f>
        <v>4698.6465764183049</v>
      </c>
      <c r="G230" s="9">
        <f>$B230*'Kroger Payments'!E$19</f>
        <v>4698.6465764183049</v>
      </c>
      <c r="H230" s="9">
        <f>$B230*'Kroger Payments'!F$19</f>
        <v>4698.6465764183049</v>
      </c>
      <c r="I230" s="9">
        <f>$B230*'Kroger Payments'!G$19</f>
        <v>4698.6465764183049</v>
      </c>
      <c r="J230" s="9">
        <f>$B230*'Kroger Payments'!H$19</f>
        <v>4698.6465764183049</v>
      </c>
      <c r="K230" s="9">
        <f>$B230*'Kroger Payments'!I$19</f>
        <v>4698.6465764183049</v>
      </c>
      <c r="L230" s="9">
        <f>$B230*'Kroger Payments'!J$19</f>
        <v>4945.9437646508477</v>
      </c>
      <c r="M230" s="9">
        <f>$B230*'Kroger Payments'!K$19</f>
        <v>4945.9437646508477</v>
      </c>
      <c r="N230" s="9">
        <f>$B230*'Kroger Payments'!L$19</f>
        <v>4945.9437646508477</v>
      </c>
      <c r="O230" s="9">
        <f>$B230*'Kroger Payments'!M$19</f>
        <v>4945.9437651042253</v>
      </c>
      <c r="P230" s="7">
        <f t="shared" si="7"/>
        <v>52674.30109398489</v>
      </c>
    </row>
    <row r="231" spans="1:16" x14ac:dyDescent="0.35">
      <c r="A231" s="3" t="s">
        <v>254</v>
      </c>
      <c r="B231" s="16">
        <v>6.9204341999999999E-4</v>
      </c>
      <c r="C231" s="8" t="s">
        <v>255</v>
      </c>
      <c r="D231" s="8" t="str">
        <f t="shared" si="8"/>
        <v>No</v>
      </c>
      <c r="E231" s="9">
        <f>$B231*'Kroger Payments'!C$19</f>
        <v>1252.5384524461872</v>
      </c>
      <c r="F231" s="9">
        <f>$B231*'Kroger Payments'!D$19</f>
        <v>1252.5384524461872</v>
      </c>
      <c r="G231" s="9">
        <f>$B231*'Kroger Payments'!E$19</f>
        <v>1252.5384524461872</v>
      </c>
      <c r="H231" s="9">
        <f>$B231*'Kroger Payments'!F$19</f>
        <v>1252.5384524461872</v>
      </c>
      <c r="I231" s="9">
        <f>$B231*'Kroger Payments'!G$19</f>
        <v>1252.5384524461872</v>
      </c>
      <c r="J231" s="9">
        <f>$B231*'Kroger Payments'!H$19</f>
        <v>1252.5384524461872</v>
      </c>
      <c r="K231" s="9">
        <f>$B231*'Kroger Payments'!I$19</f>
        <v>1252.5384524461872</v>
      </c>
      <c r="L231" s="9">
        <f>$B231*'Kroger Payments'!J$19</f>
        <v>1318.4615288907235</v>
      </c>
      <c r="M231" s="9">
        <f>$B231*'Kroger Payments'!K$19</f>
        <v>1318.4615288907235</v>
      </c>
      <c r="N231" s="9">
        <f>$B231*'Kroger Payments'!L$19</f>
        <v>1318.4615288907235</v>
      </c>
      <c r="O231" s="9">
        <f>$B231*'Kroger Payments'!M$19</f>
        <v>1318.4615290115823</v>
      </c>
      <c r="P231" s="7">
        <f t="shared" si="7"/>
        <v>14041.615282807061</v>
      </c>
    </row>
    <row r="232" spans="1:16" x14ac:dyDescent="0.35">
      <c r="A232" s="3" t="s">
        <v>254</v>
      </c>
      <c r="B232" s="16">
        <v>4.3077114159999997E-3</v>
      </c>
      <c r="C232" s="8" t="s">
        <v>256</v>
      </c>
      <c r="D232" s="8" t="str">
        <f t="shared" si="8"/>
        <v>No</v>
      </c>
      <c r="E232" s="9">
        <f>$B232*'Kroger Payments'!C$19</f>
        <v>7796.583327938316</v>
      </c>
      <c r="F232" s="9">
        <f>$B232*'Kroger Payments'!D$19</f>
        <v>7796.583327938316</v>
      </c>
      <c r="G232" s="9">
        <f>$B232*'Kroger Payments'!E$19</f>
        <v>7796.583327938316</v>
      </c>
      <c r="H232" s="9">
        <f>$B232*'Kroger Payments'!F$19</f>
        <v>7796.583327938316</v>
      </c>
      <c r="I232" s="9">
        <f>$B232*'Kroger Payments'!G$19</f>
        <v>7796.583327938316</v>
      </c>
      <c r="J232" s="9">
        <f>$B232*'Kroger Payments'!H$19</f>
        <v>7796.583327938316</v>
      </c>
      <c r="K232" s="9">
        <f>$B232*'Kroger Payments'!I$19</f>
        <v>7796.583327938316</v>
      </c>
      <c r="L232" s="9">
        <f>$B232*'Kroger Payments'!J$19</f>
        <v>8206.9298188824378</v>
      </c>
      <c r="M232" s="9">
        <f>$B232*'Kroger Payments'!K$19</f>
        <v>8206.9298188824378</v>
      </c>
      <c r="N232" s="9">
        <f>$B232*'Kroger Payments'!L$19</f>
        <v>8206.9298188824378</v>
      </c>
      <c r="O232" s="9">
        <f>$B232*'Kroger Payments'!M$19</f>
        <v>8206.929819634739</v>
      </c>
      <c r="P232" s="7">
        <f t="shared" si="7"/>
        <v>87403.802571850261</v>
      </c>
    </row>
    <row r="233" spans="1:16" x14ac:dyDescent="0.35">
      <c r="A233" s="3" t="s">
        <v>254</v>
      </c>
      <c r="B233" s="16">
        <v>1.6118539630000001E-2</v>
      </c>
      <c r="C233" s="8" t="s">
        <v>254</v>
      </c>
      <c r="D233" s="8" t="str">
        <f t="shared" si="8"/>
        <v>No</v>
      </c>
      <c r="E233" s="9">
        <f>$B233*'Kroger Payments'!C$19</f>
        <v>29173.156048290643</v>
      </c>
      <c r="F233" s="9">
        <f>$B233*'Kroger Payments'!D$19</f>
        <v>29173.156048290643</v>
      </c>
      <c r="G233" s="9">
        <f>$B233*'Kroger Payments'!E$19</f>
        <v>29173.156048290643</v>
      </c>
      <c r="H233" s="9">
        <f>$B233*'Kroger Payments'!F$19</f>
        <v>29173.156048290643</v>
      </c>
      <c r="I233" s="9">
        <f>$B233*'Kroger Payments'!G$19</f>
        <v>29173.156048290643</v>
      </c>
      <c r="J233" s="9">
        <f>$B233*'Kroger Payments'!H$19</f>
        <v>29173.156048290643</v>
      </c>
      <c r="K233" s="9">
        <f>$B233*'Kroger Payments'!I$19</f>
        <v>29173.156048290643</v>
      </c>
      <c r="L233" s="9">
        <f>$B233*'Kroger Payments'!J$19</f>
        <v>30708.585313990152</v>
      </c>
      <c r="M233" s="9">
        <f>$B233*'Kroger Payments'!K$19</f>
        <v>30708.585313990152</v>
      </c>
      <c r="N233" s="9">
        <f>$B233*'Kroger Payments'!L$19</f>
        <v>30708.585313990152</v>
      </c>
      <c r="O233" s="9">
        <f>$B233*'Kroger Payments'!M$19</f>
        <v>30708.585316805104</v>
      </c>
      <c r="P233" s="7">
        <f t="shared" si="7"/>
        <v>327046.43359681003</v>
      </c>
    </row>
    <row r="234" spans="1:16" x14ac:dyDescent="0.35">
      <c r="A234" s="3" t="s">
        <v>257</v>
      </c>
      <c r="B234" s="16">
        <v>3.4683796630000001E-3</v>
      </c>
      <c r="C234" s="8" t="s">
        <v>257</v>
      </c>
      <c r="D234" s="8" t="str">
        <f t="shared" si="8"/>
        <v>No</v>
      </c>
      <c r="E234" s="9">
        <f>$B234*'Kroger Payments'!C$19</f>
        <v>6277.465791943876</v>
      </c>
      <c r="F234" s="9">
        <f>$B234*'Kroger Payments'!D$19</f>
        <v>6277.465791943876</v>
      </c>
      <c r="G234" s="9">
        <f>$B234*'Kroger Payments'!E$19</f>
        <v>6277.465791943876</v>
      </c>
      <c r="H234" s="9">
        <f>$B234*'Kroger Payments'!F$19</f>
        <v>6277.465791943876</v>
      </c>
      <c r="I234" s="9">
        <f>$B234*'Kroger Payments'!G$19</f>
        <v>6277.465791943876</v>
      </c>
      <c r="J234" s="9">
        <f>$B234*'Kroger Payments'!H$19</f>
        <v>6277.465791943876</v>
      </c>
      <c r="K234" s="9">
        <f>$B234*'Kroger Payments'!I$19</f>
        <v>6277.465791943876</v>
      </c>
      <c r="L234" s="9">
        <f>$B234*'Kroger Payments'!J$19</f>
        <v>6607.8587283619754</v>
      </c>
      <c r="M234" s="9">
        <f>$B234*'Kroger Payments'!K$19</f>
        <v>6607.8587283619754</v>
      </c>
      <c r="N234" s="9">
        <f>$B234*'Kroger Payments'!L$19</f>
        <v>6607.8587283619754</v>
      </c>
      <c r="O234" s="9">
        <f>$B234*'Kroger Payments'!M$19</f>
        <v>6607.8587289676952</v>
      </c>
      <c r="P234" s="7">
        <f t="shared" si="7"/>
        <v>70373.695457660768</v>
      </c>
    </row>
    <row r="235" spans="1:16" x14ac:dyDescent="0.35">
      <c r="A235" s="3" t="s">
        <v>77</v>
      </c>
      <c r="B235" s="16">
        <v>9.846979730000001E-4</v>
      </c>
      <c r="C235" s="8" t="s">
        <v>258</v>
      </c>
      <c r="D235" s="8" t="str">
        <f t="shared" si="8"/>
        <v>No</v>
      </c>
      <c r="E235" s="9">
        <f>$B235*'Kroger Payments'!C$19</f>
        <v>1782.2177620420371</v>
      </c>
      <c r="F235" s="9">
        <f>$B235*'Kroger Payments'!D$19</f>
        <v>1782.2177620420371</v>
      </c>
      <c r="G235" s="9">
        <f>$B235*'Kroger Payments'!E$19</f>
        <v>1782.2177620420371</v>
      </c>
      <c r="H235" s="9">
        <f>$B235*'Kroger Payments'!F$19</f>
        <v>1782.2177620420371</v>
      </c>
      <c r="I235" s="9">
        <f>$B235*'Kroger Payments'!G$19</f>
        <v>1782.2177620420371</v>
      </c>
      <c r="J235" s="9">
        <f>$B235*'Kroger Payments'!H$19</f>
        <v>1782.2177620420371</v>
      </c>
      <c r="K235" s="9">
        <f>$B235*'Kroger Payments'!I$19</f>
        <v>1782.2177620420371</v>
      </c>
      <c r="L235" s="9">
        <f>$B235*'Kroger Payments'!J$19</f>
        <v>1876.018696886355</v>
      </c>
      <c r="M235" s="9">
        <f>$B235*'Kroger Payments'!K$19</f>
        <v>1876.018696886355</v>
      </c>
      <c r="N235" s="9">
        <f>$B235*'Kroger Payments'!L$19</f>
        <v>1876.018696886355</v>
      </c>
      <c r="O235" s="9">
        <f>$B235*'Kroger Payments'!M$19</f>
        <v>1876.0186970583234</v>
      </c>
      <c r="P235" s="7">
        <f t="shared" si="7"/>
        <v>19979.599122011648</v>
      </c>
    </row>
    <row r="236" spans="1:16" x14ac:dyDescent="0.35">
      <c r="A236" s="3" t="s">
        <v>259</v>
      </c>
      <c r="B236" s="16">
        <v>7.8956606299999997E-4</v>
      </c>
      <c r="C236" s="8" t="s">
        <v>259</v>
      </c>
      <c r="D236" s="8" t="str">
        <f t="shared" si="8"/>
        <v>No</v>
      </c>
      <c r="E236" s="9">
        <f>$B236*'Kroger Payments'!C$19</f>
        <v>1429.0459616739781</v>
      </c>
      <c r="F236" s="9">
        <f>$B236*'Kroger Payments'!D$19</f>
        <v>1429.0459616739781</v>
      </c>
      <c r="G236" s="9">
        <f>$B236*'Kroger Payments'!E$19</f>
        <v>1429.0459616739781</v>
      </c>
      <c r="H236" s="9">
        <f>$B236*'Kroger Payments'!F$19</f>
        <v>1429.0459616739781</v>
      </c>
      <c r="I236" s="9">
        <f>$B236*'Kroger Payments'!G$19</f>
        <v>1429.0459616739781</v>
      </c>
      <c r="J236" s="9">
        <f>$B236*'Kroger Payments'!H$19</f>
        <v>1429.0459616739781</v>
      </c>
      <c r="K236" s="9">
        <f>$B236*'Kroger Payments'!I$19</f>
        <v>1429.0459616739781</v>
      </c>
      <c r="L236" s="9">
        <f>$B236*'Kroger Payments'!J$19</f>
        <v>1504.2589070252402</v>
      </c>
      <c r="M236" s="9">
        <f>$B236*'Kroger Payments'!K$19</f>
        <v>1504.2589070252402</v>
      </c>
      <c r="N236" s="9">
        <f>$B236*'Kroger Payments'!L$19</f>
        <v>1504.2589070252402</v>
      </c>
      <c r="O236" s="9">
        <f>$B236*'Kroger Payments'!M$19</f>
        <v>1504.2589071631305</v>
      </c>
      <c r="P236" s="7">
        <f t="shared" si="7"/>
        <v>16020.357359956695</v>
      </c>
    </row>
    <row r="237" spans="1:16" x14ac:dyDescent="0.35">
      <c r="A237" s="3" t="s">
        <v>28</v>
      </c>
      <c r="B237" s="16">
        <v>5.1527745999999997E-5</v>
      </c>
      <c r="C237" s="8" t="s">
        <v>260</v>
      </c>
      <c r="D237" s="8" t="str">
        <f t="shared" si="8"/>
        <v>No</v>
      </c>
      <c r="E237" s="9">
        <f>$B237*'Kroger Payments'!C$19</f>
        <v>93.260742559881876</v>
      </c>
      <c r="F237" s="9">
        <f>$B237*'Kroger Payments'!D$19</f>
        <v>93.260742559881876</v>
      </c>
      <c r="G237" s="9">
        <f>$B237*'Kroger Payments'!E$19</f>
        <v>93.260742559881876</v>
      </c>
      <c r="H237" s="9">
        <f>$B237*'Kroger Payments'!F$19</f>
        <v>93.260742559881876</v>
      </c>
      <c r="I237" s="9">
        <f>$B237*'Kroger Payments'!G$19</f>
        <v>93.260742559881876</v>
      </c>
      <c r="J237" s="9">
        <f>$B237*'Kroger Payments'!H$19</f>
        <v>93.260742559881876</v>
      </c>
      <c r="K237" s="9">
        <f>$B237*'Kroger Payments'!I$19</f>
        <v>93.260742559881876</v>
      </c>
      <c r="L237" s="9">
        <f>$B237*'Kroger Payments'!J$19</f>
        <v>98.169202694612508</v>
      </c>
      <c r="M237" s="9">
        <f>$B237*'Kroger Payments'!K$19</f>
        <v>98.169202694612508</v>
      </c>
      <c r="N237" s="9">
        <f>$B237*'Kroger Payments'!L$19</f>
        <v>98.169202694612508</v>
      </c>
      <c r="O237" s="9">
        <f>$B237*'Kroger Payments'!M$19</f>
        <v>98.169202703611347</v>
      </c>
      <c r="P237" s="7">
        <f t="shared" si="7"/>
        <v>1045.5020087066221</v>
      </c>
    </row>
    <row r="238" spans="1:16" x14ac:dyDescent="0.35">
      <c r="A238" s="3" t="s">
        <v>75</v>
      </c>
      <c r="B238" s="16">
        <v>5.0654952390000001E-3</v>
      </c>
      <c r="C238" s="8" t="s">
        <v>261</v>
      </c>
      <c r="D238" s="8" t="str">
        <f t="shared" si="8"/>
        <v>No</v>
      </c>
      <c r="E238" s="9">
        <f>$B238*'Kroger Payments'!C$19</f>
        <v>9168.1061970513201</v>
      </c>
      <c r="F238" s="9">
        <f>$B238*'Kroger Payments'!D$19</f>
        <v>9168.1061970513201</v>
      </c>
      <c r="G238" s="9">
        <f>$B238*'Kroger Payments'!E$19</f>
        <v>9168.1061970513201</v>
      </c>
      <c r="H238" s="9">
        <f>$B238*'Kroger Payments'!F$19</f>
        <v>9168.1061970513201</v>
      </c>
      <c r="I238" s="9">
        <f>$B238*'Kroger Payments'!G$19</f>
        <v>9168.1061970513201</v>
      </c>
      <c r="J238" s="9">
        <f>$B238*'Kroger Payments'!H$19</f>
        <v>9168.1061970513201</v>
      </c>
      <c r="K238" s="9">
        <f>$B238*'Kroger Payments'!I$19</f>
        <v>9168.1061970513201</v>
      </c>
      <c r="L238" s="9">
        <f>$B238*'Kroger Payments'!J$19</f>
        <v>9650.6381021592842</v>
      </c>
      <c r="M238" s="9">
        <f>$B238*'Kroger Payments'!K$19</f>
        <v>9650.6381021592842</v>
      </c>
      <c r="N238" s="9">
        <f>$B238*'Kroger Payments'!L$19</f>
        <v>9650.6381021592842</v>
      </c>
      <c r="O238" s="9">
        <f>$B238*'Kroger Payments'!M$19</f>
        <v>9650.6381030439261</v>
      </c>
      <c r="P238" s="7">
        <f t="shared" si="7"/>
        <v>102779.29578888101</v>
      </c>
    </row>
    <row r="239" spans="1:16" x14ac:dyDescent="0.35">
      <c r="A239" s="3" t="s">
        <v>234</v>
      </c>
      <c r="B239" s="16">
        <v>7.2553937769999997E-3</v>
      </c>
      <c r="C239" s="8" t="s">
        <v>234</v>
      </c>
      <c r="D239" s="8" t="str">
        <f t="shared" si="8"/>
        <v>No</v>
      </c>
      <c r="E239" s="9">
        <f>$B239*'Kroger Payments'!C$19</f>
        <v>13131.632251241226</v>
      </c>
      <c r="F239" s="9">
        <f>$B239*'Kroger Payments'!D$19</f>
        <v>13131.632251241226</v>
      </c>
      <c r="G239" s="9">
        <f>$B239*'Kroger Payments'!E$19</f>
        <v>13131.632251241226</v>
      </c>
      <c r="H239" s="9">
        <f>$B239*'Kroger Payments'!F$19</f>
        <v>13131.632251241226</v>
      </c>
      <c r="I239" s="9">
        <f>$B239*'Kroger Payments'!G$19</f>
        <v>13131.632251241226</v>
      </c>
      <c r="J239" s="9">
        <f>$B239*'Kroger Payments'!H$19</f>
        <v>13131.632251241226</v>
      </c>
      <c r="K239" s="9">
        <f>$B239*'Kroger Payments'!I$19</f>
        <v>13131.632251241226</v>
      </c>
      <c r="L239" s="9">
        <f>$B239*'Kroger Payments'!J$19</f>
        <v>13822.770790780238</v>
      </c>
      <c r="M239" s="9">
        <f>$B239*'Kroger Payments'!K$19</f>
        <v>13822.770790780238</v>
      </c>
      <c r="N239" s="9">
        <f>$B239*'Kroger Payments'!L$19</f>
        <v>13822.770790780238</v>
      </c>
      <c r="O239" s="9">
        <f>$B239*'Kroger Payments'!M$19</f>
        <v>13822.770792047324</v>
      </c>
      <c r="P239" s="7">
        <f t="shared" si="7"/>
        <v>147212.50892307662</v>
      </c>
    </row>
    <row r="240" spans="1:16" x14ac:dyDescent="0.35">
      <c r="A240" s="3" t="s">
        <v>34</v>
      </c>
      <c r="B240" s="16">
        <v>2.5895695000000002E-4</v>
      </c>
      <c r="C240" s="8" t="s">
        <v>262</v>
      </c>
      <c r="D240" s="8" t="str">
        <f t="shared" si="8"/>
        <v>No</v>
      </c>
      <c r="E240" s="9">
        <f>$B240*'Kroger Payments'!C$19</f>
        <v>468.68957644765226</v>
      </c>
      <c r="F240" s="9">
        <f>$B240*'Kroger Payments'!D$19</f>
        <v>468.68957644765226</v>
      </c>
      <c r="G240" s="9">
        <f>$B240*'Kroger Payments'!E$19</f>
        <v>468.68957644765226</v>
      </c>
      <c r="H240" s="9">
        <f>$B240*'Kroger Payments'!F$19</f>
        <v>468.68957644765226</v>
      </c>
      <c r="I240" s="9">
        <f>$B240*'Kroger Payments'!G$19</f>
        <v>468.68957644765226</v>
      </c>
      <c r="J240" s="9">
        <f>$B240*'Kroger Payments'!H$19</f>
        <v>468.68957644765226</v>
      </c>
      <c r="K240" s="9">
        <f>$B240*'Kroger Payments'!I$19</f>
        <v>468.68957644765226</v>
      </c>
      <c r="L240" s="9">
        <f>$B240*'Kroger Payments'!J$19</f>
        <v>493.35744889226555</v>
      </c>
      <c r="M240" s="9">
        <f>$B240*'Kroger Payments'!K$19</f>
        <v>493.35744889226555</v>
      </c>
      <c r="N240" s="9">
        <f>$B240*'Kroger Payments'!L$19</f>
        <v>493.35744889226555</v>
      </c>
      <c r="O240" s="9">
        <f>$B240*'Kroger Payments'!M$19</f>
        <v>493.35744893748995</v>
      </c>
      <c r="P240" s="7">
        <f t="shared" si="7"/>
        <v>5254.2568307478523</v>
      </c>
    </row>
    <row r="241" spans="1:16" x14ac:dyDescent="0.35">
      <c r="A241" s="3" t="s">
        <v>34</v>
      </c>
      <c r="B241" s="16">
        <v>3.9341607969999998E-3</v>
      </c>
      <c r="C241" s="8" t="s">
        <v>263</v>
      </c>
      <c r="D241" s="8" t="str">
        <f t="shared" si="8"/>
        <v>No</v>
      </c>
      <c r="E241" s="9">
        <f>$B241*'Kroger Payments'!C$19</f>
        <v>7120.4891686548199</v>
      </c>
      <c r="F241" s="9">
        <f>$B241*'Kroger Payments'!D$19</f>
        <v>7120.4891686548199</v>
      </c>
      <c r="G241" s="9">
        <f>$B241*'Kroger Payments'!E$19</f>
        <v>7120.4891686548199</v>
      </c>
      <c r="H241" s="9">
        <f>$B241*'Kroger Payments'!F$19</f>
        <v>7120.4891686548199</v>
      </c>
      <c r="I241" s="9">
        <f>$B241*'Kroger Payments'!G$19</f>
        <v>7120.4891686548199</v>
      </c>
      <c r="J241" s="9">
        <f>$B241*'Kroger Payments'!H$19</f>
        <v>7120.4891686548199</v>
      </c>
      <c r="K241" s="9">
        <f>$B241*'Kroger Payments'!I$19</f>
        <v>7120.4891686548199</v>
      </c>
      <c r="L241" s="9">
        <f>$B241*'Kroger Payments'!J$19</f>
        <v>7495.2517564787577</v>
      </c>
      <c r="M241" s="9">
        <f>$B241*'Kroger Payments'!K$19</f>
        <v>7495.2517564787577</v>
      </c>
      <c r="N241" s="9">
        <f>$B241*'Kroger Payments'!L$19</f>
        <v>7495.2517564787577</v>
      </c>
      <c r="O241" s="9">
        <f>$B241*'Kroger Payments'!M$19</f>
        <v>7495.2517571658227</v>
      </c>
      <c r="P241" s="7">
        <f t="shared" si="7"/>
        <v>79824.431207185844</v>
      </c>
    </row>
    <row r="242" spans="1:16" x14ac:dyDescent="0.35">
      <c r="A242" s="3" t="s">
        <v>34</v>
      </c>
      <c r="B242" s="16">
        <v>1.112995E-6</v>
      </c>
      <c r="C242" s="8" t="s">
        <v>264</v>
      </c>
      <c r="D242" s="8" t="str">
        <f t="shared" si="8"/>
        <v>Yes</v>
      </c>
      <c r="E242" s="9">
        <f>$B242*'Kroger Payments'!C$19</f>
        <v>2.0144242320522956</v>
      </c>
      <c r="F242" s="9">
        <f>$B242*'Kroger Payments'!D$19</f>
        <v>2.0144242320522956</v>
      </c>
      <c r="G242" s="9">
        <f>$B242*'Kroger Payments'!E$19</f>
        <v>2.0144242320522956</v>
      </c>
      <c r="H242" s="9">
        <f>$B242*'Kroger Payments'!F$19</f>
        <v>2.0144242320522956</v>
      </c>
      <c r="I242" s="9">
        <f>$B242*'Kroger Payments'!G$19</f>
        <v>2.0144242320522956</v>
      </c>
      <c r="J242" s="9">
        <f>$B242*'Kroger Payments'!H$19</f>
        <v>2.0144242320522956</v>
      </c>
      <c r="K242" s="9">
        <f>$B242*'Kroger Payments'!I$19</f>
        <v>2.0144242320522956</v>
      </c>
      <c r="L242" s="9">
        <f>$B242*'Kroger Payments'!J$19</f>
        <v>2.1204465600550479</v>
      </c>
      <c r="M242" s="9">
        <f>$B242*'Kroger Payments'!K$19</f>
        <v>2.1204465600550479</v>
      </c>
      <c r="N242" s="9">
        <f>$B242*'Kroger Payments'!L$19</f>
        <v>2.1204465600550479</v>
      </c>
      <c r="O242" s="9">
        <f>$B242*'Kroger Payments'!M$19</f>
        <v>2.1204465602494222</v>
      </c>
      <c r="P242" s="7">
        <f t="shared" si="7"/>
        <v>22.582755864780633</v>
      </c>
    </row>
    <row r="243" spans="1:16" x14ac:dyDescent="0.35">
      <c r="A243" s="3" t="s">
        <v>22</v>
      </c>
      <c r="B243" s="16">
        <v>8.8842370499999995E-4</v>
      </c>
      <c r="C243" s="8" t="s">
        <v>265</v>
      </c>
      <c r="D243" s="8" t="str">
        <f t="shared" si="8"/>
        <v>No</v>
      </c>
      <c r="E243" s="9">
        <f>$B243*'Kroger Payments'!C$19</f>
        <v>1607.9697030819366</v>
      </c>
      <c r="F243" s="9">
        <f>$B243*'Kroger Payments'!D$19</f>
        <v>1607.9697030819366</v>
      </c>
      <c r="G243" s="9">
        <f>$B243*'Kroger Payments'!E$19</f>
        <v>1607.9697030819366</v>
      </c>
      <c r="H243" s="9">
        <f>$B243*'Kroger Payments'!F$19</f>
        <v>1607.9697030819366</v>
      </c>
      <c r="I243" s="9">
        <f>$B243*'Kroger Payments'!G$19</f>
        <v>1607.9697030819366</v>
      </c>
      <c r="J243" s="9">
        <f>$B243*'Kroger Payments'!H$19</f>
        <v>1607.9697030819366</v>
      </c>
      <c r="K243" s="9">
        <f>$B243*'Kroger Payments'!I$19</f>
        <v>1607.9697030819366</v>
      </c>
      <c r="L243" s="9">
        <f>$B243*'Kroger Payments'!J$19</f>
        <v>1692.5996874546702</v>
      </c>
      <c r="M243" s="9">
        <f>$B243*'Kroger Payments'!K$19</f>
        <v>1692.5996874546702</v>
      </c>
      <c r="N243" s="9">
        <f>$B243*'Kroger Payments'!L$19</f>
        <v>1692.5996874546702</v>
      </c>
      <c r="O243" s="9">
        <f>$B243*'Kroger Payments'!M$19</f>
        <v>1692.599687609825</v>
      </c>
      <c r="P243" s="7">
        <f t="shared" si="7"/>
        <v>18026.186671547395</v>
      </c>
    </row>
    <row r="244" spans="1:16" x14ac:dyDescent="0.35">
      <c r="A244" s="3" t="s">
        <v>24</v>
      </c>
      <c r="B244" s="16">
        <v>1.03960225E-4</v>
      </c>
      <c r="C244" s="8" t="s">
        <v>266</v>
      </c>
      <c r="D244" s="8" t="str">
        <f t="shared" si="8"/>
        <v>No</v>
      </c>
      <c r="E244" s="9">
        <f>$B244*'Kroger Payments'!C$19</f>
        <v>188.15897322953728</v>
      </c>
      <c r="F244" s="9">
        <f>$B244*'Kroger Payments'!D$19</f>
        <v>188.15897322953728</v>
      </c>
      <c r="G244" s="9">
        <f>$B244*'Kroger Payments'!E$19</f>
        <v>188.15897322953728</v>
      </c>
      <c r="H244" s="9">
        <f>$B244*'Kroger Payments'!F$19</f>
        <v>188.15897322953728</v>
      </c>
      <c r="I244" s="9">
        <f>$B244*'Kroger Payments'!G$19</f>
        <v>188.15897322953728</v>
      </c>
      <c r="J244" s="9">
        <f>$B244*'Kroger Payments'!H$19</f>
        <v>188.15897322953728</v>
      </c>
      <c r="K244" s="9">
        <f>$B244*'Kroger Payments'!I$19</f>
        <v>188.15897322953728</v>
      </c>
      <c r="L244" s="9">
        <f>$B244*'Kroger Payments'!J$19</f>
        <v>198.06207708372347</v>
      </c>
      <c r="M244" s="9">
        <f>$B244*'Kroger Payments'!K$19</f>
        <v>198.06207708372347</v>
      </c>
      <c r="N244" s="9">
        <f>$B244*'Kroger Payments'!L$19</f>
        <v>198.06207708372347</v>
      </c>
      <c r="O244" s="9">
        <f>$B244*'Kroger Payments'!M$19</f>
        <v>198.06207710187914</v>
      </c>
      <c r="P244" s="7">
        <f t="shared" si="7"/>
        <v>2109.3611209598103</v>
      </c>
    </row>
    <row r="245" spans="1:16" x14ac:dyDescent="0.35">
      <c r="A245" s="3" t="s">
        <v>34</v>
      </c>
      <c r="B245" s="16">
        <v>4.4705318999999999E-5</v>
      </c>
      <c r="C245" s="8" t="s">
        <v>267</v>
      </c>
      <c r="D245" s="8" t="str">
        <f t="shared" si="8"/>
        <v>No</v>
      </c>
      <c r="E245" s="9">
        <f>$B245*'Kroger Payments'!C$19</f>
        <v>80.912742550710377</v>
      </c>
      <c r="F245" s="9">
        <f>$B245*'Kroger Payments'!D$19</f>
        <v>80.912742550710377</v>
      </c>
      <c r="G245" s="9">
        <f>$B245*'Kroger Payments'!E$19</f>
        <v>80.912742550710377</v>
      </c>
      <c r="H245" s="9">
        <f>$B245*'Kroger Payments'!F$19</f>
        <v>80.912742550710377</v>
      </c>
      <c r="I245" s="9">
        <f>$B245*'Kroger Payments'!G$19</f>
        <v>80.912742550710377</v>
      </c>
      <c r="J245" s="9">
        <f>$B245*'Kroger Payments'!H$19</f>
        <v>80.912742550710377</v>
      </c>
      <c r="K245" s="9">
        <f>$B245*'Kroger Payments'!I$19</f>
        <v>80.912742550710377</v>
      </c>
      <c r="L245" s="9">
        <f>$B245*'Kroger Payments'!J$19</f>
        <v>85.17130794811618</v>
      </c>
      <c r="M245" s="9">
        <f>$B245*'Kroger Payments'!K$19</f>
        <v>85.17130794811618</v>
      </c>
      <c r="N245" s="9">
        <f>$B245*'Kroger Payments'!L$19</f>
        <v>85.17130794811618</v>
      </c>
      <c r="O245" s="9">
        <f>$B245*'Kroger Payments'!M$19</f>
        <v>85.171307955923552</v>
      </c>
      <c r="P245" s="7">
        <f t="shared" si="7"/>
        <v>907.07442965524478</v>
      </c>
    </row>
    <row r="246" spans="1:16" x14ac:dyDescent="0.35">
      <c r="A246" s="3" t="s">
        <v>121</v>
      </c>
      <c r="B246" s="16">
        <v>1.9960063401999999E-2</v>
      </c>
      <c r="C246" s="8" t="s">
        <v>121</v>
      </c>
      <c r="D246" s="8" t="str">
        <f t="shared" si="8"/>
        <v>No</v>
      </c>
      <c r="E246" s="9">
        <f>$B246*'Kroger Payments'!C$19</f>
        <v>36125.980251743247</v>
      </c>
      <c r="F246" s="9">
        <f>$B246*'Kroger Payments'!D$19</f>
        <v>36125.980251743247</v>
      </c>
      <c r="G246" s="9">
        <f>$B246*'Kroger Payments'!E$19</f>
        <v>36125.980251743247</v>
      </c>
      <c r="H246" s="9">
        <f>$B246*'Kroger Payments'!F$19</f>
        <v>36125.980251743247</v>
      </c>
      <c r="I246" s="9">
        <f>$B246*'Kroger Payments'!G$19</f>
        <v>36125.980251743247</v>
      </c>
      <c r="J246" s="9">
        <f>$B246*'Kroger Payments'!H$19</f>
        <v>36125.980251743247</v>
      </c>
      <c r="K246" s="9">
        <f>$B246*'Kroger Payments'!I$19</f>
        <v>36125.980251743247</v>
      </c>
      <c r="L246" s="9">
        <f>$B246*'Kroger Payments'!J$19</f>
        <v>38027.347633413949</v>
      </c>
      <c r="M246" s="9">
        <f>$B246*'Kroger Payments'!K$19</f>
        <v>38027.347633413949</v>
      </c>
      <c r="N246" s="9">
        <f>$B246*'Kroger Payments'!L$19</f>
        <v>38027.347633413949</v>
      </c>
      <c r="O246" s="9">
        <f>$B246*'Kroger Payments'!M$19</f>
        <v>38027.347636899787</v>
      </c>
      <c r="P246" s="7">
        <f t="shared" si="7"/>
        <v>404991.25229934446</v>
      </c>
    </row>
    <row r="247" spans="1:16" x14ac:dyDescent="0.35">
      <c r="A247" s="3" t="s">
        <v>268</v>
      </c>
      <c r="B247" s="16">
        <v>4.2656915710000002E-3</v>
      </c>
      <c r="C247" s="8" t="s">
        <v>268</v>
      </c>
      <c r="D247" s="8" t="str">
        <f t="shared" si="8"/>
        <v>No</v>
      </c>
      <c r="E247" s="9">
        <f>$B247*'Kroger Payments'!C$19</f>
        <v>7720.5310599630948</v>
      </c>
      <c r="F247" s="9">
        <f>$B247*'Kroger Payments'!D$19</f>
        <v>7720.5310599630948</v>
      </c>
      <c r="G247" s="9">
        <f>$B247*'Kroger Payments'!E$19</f>
        <v>7720.5310599630948</v>
      </c>
      <c r="H247" s="9">
        <f>$B247*'Kroger Payments'!F$19</f>
        <v>7720.5310599630948</v>
      </c>
      <c r="I247" s="9">
        <f>$B247*'Kroger Payments'!G$19</f>
        <v>7720.5310599630948</v>
      </c>
      <c r="J247" s="9">
        <f>$B247*'Kroger Payments'!H$19</f>
        <v>7720.5310599630948</v>
      </c>
      <c r="K247" s="9">
        <f>$B247*'Kroger Payments'!I$19</f>
        <v>7720.5310599630948</v>
      </c>
      <c r="L247" s="9">
        <f>$B247*'Kroger Payments'!J$19</f>
        <v>8126.8747999611533</v>
      </c>
      <c r="M247" s="9">
        <f>$B247*'Kroger Payments'!K$19</f>
        <v>8126.8747999611533</v>
      </c>
      <c r="N247" s="9">
        <f>$B247*'Kroger Payments'!L$19</f>
        <v>8126.8747999611533</v>
      </c>
      <c r="O247" s="9">
        <f>$B247*'Kroger Payments'!M$19</f>
        <v>8126.8748007061167</v>
      </c>
      <c r="P247" s="7">
        <f t="shared" si="7"/>
        <v>86551.216620331252</v>
      </c>
    </row>
    <row r="248" spans="1:16" x14ac:dyDescent="0.35">
      <c r="A248" s="3" t="s">
        <v>75</v>
      </c>
      <c r="B248" s="16">
        <v>3.3990819959999999E-3</v>
      </c>
      <c r="C248" s="8" t="s">
        <v>269</v>
      </c>
      <c r="D248" s="8" t="str">
        <f t="shared" si="8"/>
        <v>No</v>
      </c>
      <c r="E248" s="9">
        <f>$B248*'Kroger Payments'!C$19</f>
        <v>6152.0430365590892</v>
      </c>
      <c r="F248" s="9">
        <f>$B248*'Kroger Payments'!D$19</f>
        <v>6152.0430365590892</v>
      </c>
      <c r="G248" s="9">
        <f>$B248*'Kroger Payments'!E$19</f>
        <v>6152.0430365590892</v>
      </c>
      <c r="H248" s="9">
        <f>$B248*'Kroger Payments'!F$19</f>
        <v>6152.0430365590892</v>
      </c>
      <c r="I248" s="9">
        <f>$B248*'Kroger Payments'!G$19</f>
        <v>6152.0430365590892</v>
      </c>
      <c r="J248" s="9">
        <f>$B248*'Kroger Payments'!H$19</f>
        <v>6152.0430365590892</v>
      </c>
      <c r="K248" s="9">
        <f>$B248*'Kroger Payments'!I$19</f>
        <v>6152.0430365590892</v>
      </c>
      <c r="L248" s="9">
        <f>$B248*'Kroger Payments'!J$19</f>
        <v>6475.8347753253574</v>
      </c>
      <c r="M248" s="9">
        <f>$B248*'Kroger Payments'!K$19</f>
        <v>6475.8347753253574</v>
      </c>
      <c r="N248" s="9">
        <f>$B248*'Kroger Payments'!L$19</f>
        <v>6475.8347753253574</v>
      </c>
      <c r="O248" s="9">
        <f>$B248*'Kroger Payments'!M$19</f>
        <v>6475.8347759189755</v>
      </c>
      <c r="P248" s="7">
        <f t="shared" si="7"/>
        <v>68967.640357808661</v>
      </c>
    </row>
    <row r="249" spans="1:16" x14ac:dyDescent="0.35">
      <c r="A249" s="3" t="s">
        <v>75</v>
      </c>
      <c r="B249" s="16">
        <v>9.4075533769999997E-3</v>
      </c>
      <c r="C249" s="8" t="s">
        <v>271</v>
      </c>
      <c r="D249" s="8" t="str">
        <f t="shared" si="8"/>
        <v>No</v>
      </c>
      <c r="E249" s="9">
        <f>$B249*'Kroger Payments'!C$19</f>
        <v>17026.854107120162</v>
      </c>
      <c r="F249" s="9">
        <f>$B249*'Kroger Payments'!D$19</f>
        <v>17026.854107120162</v>
      </c>
      <c r="G249" s="9">
        <f>$B249*'Kroger Payments'!E$19</f>
        <v>17026.854107120162</v>
      </c>
      <c r="H249" s="9">
        <f>$B249*'Kroger Payments'!F$19</f>
        <v>17026.854107120162</v>
      </c>
      <c r="I249" s="9">
        <f>$B249*'Kroger Payments'!G$19</f>
        <v>17026.854107120162</v>
      </c>
      <c r="J249" s="9">
        <f>$B249*'Kroger Payments'!H$19</f>
        <v>17026.854107120162</v>
      </c>
      <c r="K249" s="9">
        <f>$B249*'Kroger Payments'!I$19</f>
        <v>17026.854107120162</v>
      </c>
      <c r="L249" s="9">
        <f>$B249*'Kroger Payments'!J$19</f>
        <v>17923.004323284382</v>
      </c>
      <c r="M249" s="9">
        <f>$B249*'Kroger Payments'!K$19</f>
        <v>17923.004323284382</v>
      </c>
      <c r="N249" s="9">
        <f>$B249*'Kroger Payments'!L$19</f>
        <v>17923.004323284382</v>
      </c>
      <c r="O249" s="9">
        <f>$B249*'Kroger Payments'!M$19</f>
        <v>17923.004324927322</v>
      </c>
      <c r="P249" s="7">
        <f t="shared" si="7"/>
        <v>190879.99604462157</v>
      </c>
    </row>
    <row r="250" spans="1:16" x14ac:dyDescent="0.35">
      <c r="A250" s="3" t="s">
        <v>268</v>
      </c>
      <c r="B250" s="16">
        <v>5.9931893000000002E-4</v>
      </c>
      <c r="C250" s="8" t="s">
        <v>272</v>
      </c>
      <c r="D250" s="8" t="str">
        <f t="shared" si="8"/>
        <v>No</v>
      </c>
      <c r="E250" s="9">
        <f>$B250*'Kroger Payments'!C$19</f>
        <v>1084.7151831945816</v>
      </c>
      <c r="F250" s="9">
        <f>$B250*'Kroger Payments'!D$19</f>
        <v>1084.7151831945816</v>
      </c>
      <c r="G250" s="9">
        <f>$B250*'Kroger Payments'!E$19</f>
        <v>1084.7151831945816</v>
      </c>
      <c r="H250" s="9">
        <f>$B250*'Kroger Payments'!F$19</f>
        <v>1084.7151831945816</v>
      </c>
      <c r="I250" s="9">
        <f>$B250*'Kroger Payments'!G$19</f>
        <v>1084.7151831945816</v>
      </c>
      <c r="J250" s="9">
        <f>$B250*'Kroger Payments'!H$19</f>
        <v>1084.7151831945816</v>
      </c>
      <c r="K250" s="9">
        <f>$B250*'Kroger Payments'!I$19</f>
        <v>1084.7151831945816</v>
      </c>
      <c r="L250" s="9">
        <f>$B250*'Kroger Payments'!J$19</f>
        <v>1141.8054559942966</v>
      </c>
      <c r="M250" s="9">
        <f>$B250*'Kroger Payments'!K$19</f>
        <v>1141.8054559942966</v>
      </c>
      <c r="N250" s="9">
        <f>$B250*'Kroger Payments'!L$19</f>
        <v>1141.8054559942966</v>
      </c>
      <c r="O250" s="9">
        <f>$B250*'Kroger Payments'!M$19</f>
        <v>1141.8054560989619</v>
      </c>
      <c r="P250" s="7">
        <f t="shared" si="7"/>
        <v>12160.228106443923</v>
      </c>
    </row>
    <row r="251" spans="1:16" x14ac:dyDescent="0.35">
      <c r="A251" s="3" t="s">
        <v>55</v>
      </c>
      <c r="B251" s="16">
        <v>1.4722345500000001E-4</v>
      </c>
      <c r="C251" s="8" t="s">
        <v>273</v>
      </c>
      <c r="D251" s="8" t="str">
        <f t="shared" si="8"/>
        <v>No</v>
      </c>
      <c r="E251" s="9">
        <f>$B251*'Kroger Payments'!C$19</f>
        <v>266.46166000607434</v>
      </c>
      <c r="F251" s="9">
        <f>$B251*'Kroger Payments'!D$19</f>
        <v>266.46166000607434</v>
      </c>
      <c r="G251" s="9">
        <f>$B251*'Kroger Payments'!E$19</f>
        <v>266.46166000607434</v>
      </c>
      <c r="H251" s="9">
        <f>$B251*'Kroger Payments'!F$19</f>
        <v>266.46166000607434</v>
      </c>
      <c r="I251" s="9">
        <f>$B251*'Kroger Payments'!G$19</f>
        <v>266.46166000607434</v>
      </c>
      <c r="J251" s="9">
        <f>$B251*'Kroger Payments'!H$19</f>
        <v>266.46166000607434</v>
      </c>
      <c r="K251" s="9">
        <f>$B251*'Kroger Payments'!I$19</f>
        <v>266.46166000607434</v>
      </c>
      <c r="L251" s="9">
        <f>$B251*'Kroger Payments'!J$19</f>
        <v>280.48595790113086</v>
      </c>
      <c r="M251" s="9">
        <f>$B251*'Kroger Payments'!K$19</f>
        <v>280.48595790113086</v>
      </c>
      <c r="N251" s="9">
        <f>$B251*'Kroger Payments'!L$19</f>
        <v>280.48595790113086</v>
      </c>
      <c r="O251" s="9">
        <f>$B251*'Kroger Payments'!M$19</f>
        <v>280.4859579268421</v>
      </c>
      <c r="P251" s="7">
        <f t="shared" si="7"/>
        <v>2987.1754516727556</v>
      </c>
    </row>
    <row r="252" spans="1:16" x14ac:dyDescent="0.35">
      <c r="A252" s="3" t="s">
        <v>28</v>
      </c>
      <c r="B252" s="16">
        <v>1.21236785E-4</v>
      </c>
      <c r="C252" s="8" t="s">
        <v>274</v>
      </c>
      <c r="D252" s="8" t="str">
        <f t="shared" si="8"/>
        <v>No</v>
      </c>
      <c r="E252" s="9">
        <f>$B252*'Kroger Payments'!C$19</f>
        <v>219.42804551692888</v>
      </c>
      <c r="F252" s="9">
        <f>$B252*'Kroger Payments'!D$19</f>
        <v>219.42804551692888</v>
      </c>
      <c r="G252" s="9">
        <f>$B252*'Kroger Payments'!E$19</f>
        <v>219.42804551692888</v>
      </c>
      <c r="H252" s="9">
        <f>$B252*'Kroger Payments'!F$19</f>
        <v>219.42804551692888</v>
      </c>
      <c r="I252" s="9">
        <f>$B252*'Kroger Payments'!G$19</f>
        <v>219.42804551692888</v>
      </c>
      <c r="J252" s="9">
        <f>$B252*'Kroger Payments'!H$19</f>
        <v>219.42804551692888</v>
      </c>
      <c r="K252" s="9">
        <f>$B252*'Kroger Payments'!I$19</f>
        <v>219.42804551692888</v>
      </c>
      <c r="L252" s="9">
        <f>$B252*'Kroger Payments'!J$19</f>
        <v>230.97689001781987</v>
      </c>
      <c r="M252" s="9">
        <f>$B252*'Kroger Payments'!K$19</f>
        <v>230.97689001781987</v>
      </c>
      <c r="N252" s="9">
        <f>$B252*'Kroger Payments'!L$19</f>
        <v>230.97689001781987</v>
      </c>
      <c r="O252" s="9">
        <f>$B252*'Kroger Payments'!M$19</f>
        <v>230.97689003899274</v>
      </c>
      <c r="P252" s="7">
        <f t="shared" si="7"/>
        <v>2459.9038787109548</v>
      </c>
    </row>
    <row r="253" spans="1:16" x14ac:dyDescent="0.35">
      <c r="A253" s="3" t="s">
        <v>22</v>
      </c>
      <c r="B253" s="16">
        <v>3.76477863E-3</v>
      </c>
      <c r="C253" s="8" t="s">
        <v>275</v>
      </c>
      <c r="D253" s="8" t="str">
        <f t="shared" si="8"/>
        <v>No</v>
      </c>
      <c r="E253" s="9">
        <f>$B253*'Kroger Payments'!C$19</f>
        <v>6813.9221654945823</v>
      </c>
      <c r="F253" s="9">
        <f>$B253*'Kroger Payments'!D$19</f>
        <v>6813.9221654945823</v>
      </c>
      <c r="G253" s="9">
        <f>$B253*'Kroger Payments'!E$19</f>
        <v>6813.9221654945823</v>
      </c>
      <c r="H253" s="9">
        <f>$B253*'Kroger Payments'!F$19</f>
        <v>6813.9221654945823</v>
      </c>
      <c r="I253" s="9">
        <f>$B253*'Kroger Payments'!G$19</f>
        <v>6813.9221654945823</v>
      </c>
      <c r="J253" s="9">
        <f>$B253*'Kroger Payments'!H$19</f>
        <v>6813.9221654945823</v>
      </c>
      <c r="K253" s="9">
        <f>$B253*'Kroger Payments'!I$19</f>
        <v>6813.9221654945823</v>
      </c>
      <c r="L253" s="9">
        <f>$B253*'Kroger Payments'!J$19</f>
        <v>7172.5496478890345</v>
      </c>
      <c r="M253" s="9">
        <f>$B253*'Kroger Payments'!K$19</f>
        <v>7172.5496478890345</v>
      </c>
      <c r="N253" s="9">
        <f>$B253*'Kroger Payments'!L$19</f>
        <v>7172.5496478890345</v>
      </c>
      <c r="O253" s="9">
        <f>$B253*'Kroger Payments'!M$19</f>
        <v>7172.5496485465183</v>
      </c>
      <c r="P253" s="7">
        <f t="shared" si="7"/>
        <v>76387.653750675687</v>
      </c>
    </row>
    <row r="254" spans="1:16" x14ac:dyDescent="0.35">
      <c r="A254" s="3" t="s">
        <v>83</v>
      </c>
      <c r="B254" s="16">
        <v>5.2063171000000001E-5</v>
      </c>
      <c r="C254" s="8" t="s">
        <v>276</v>
      </c>
      <c r="D254" s="8" t="str">
        <f t="shared" si="8"/>
        <v>No</v>
      </c>
      <c r="E254" s="9">
        <f>$B254*'Kroger Payments'!C$19</f>
        <v>94.229815282083337</v>
      </c>
      <c r="F254" s="9">
        <f>$B254*'Kroger Payments'!D$19</f>
        <v>94.229815282083337</v>
      </c>
      <c r="G254" s="9">
        <f>$B254*'Kroger Payments'!E$19</f>
        <v>94.229815282083337</v>
      </c>
      <c r="H254" s="9">
        <f>$B254*'Kroger Payments'!F$19</f>
        <v>94.229815282083337</v>
      </c>
      <c r="I254" s="9">
        <f>$B254*'Kroger Payments'!G$19</f>
        <v>94.229815282083337</v>
      </c>
      <c r="J254" s="9">
        <f>$B254*'Kroger Payments'!H$19</f>
        <v>94.229815282083337</v>
      </c>
      <c r="K254" s="9">
        <f>$B254*'Kroger Payments'!I$19</f>
        <v>94.229815282083337</v>
      </c>
      <c r="L254" s="9">
        <f>$B254*'Kroger Payments'!J$19</f>
        <v>99.189279244298248</v>
      </c>
      <c r="M254" s="9">
        <f>$B254*'Kroger Payments'!K$19</f>
        <v>99.189279244298248</v>
      </c>
      <c r="N254" s="9">
        <f>$B254*'Kroger Payments'!L$19</f>
        <v>99.189279244298248</v>
      </c>
      <c r="O254" s="9">
        <f>$B254*'Kroger Payments'!M$19</f>
        <v>99.189279253390595</v>
      </c>
      <c r="P254" s="7">
        <f t="shared" si="7"/>
        <v>1056.3658239608687</v>
      </c>
    </row>
    <row r="255" spans="1:16" x14ac:dyDescent="0.35">
      <c r="A255" s="3" t="s">
        <v>254</v>
      </c>
      <c r="B255" s="16">
        <v>1.27113988E-4</v>
      </c>
      <c r="C255" s="8" t="s">
        <v>277</v>
      </c>
      <c r="D255" s="8" t="str">
        <f t="shared" si="8"/>
        <v>No</v>
      </c>
      <c r="E255" s="9">
        <f>$B255*'Kroger Payments'!C$19</f>
        <v>230.06527222494682</v>
      </c>
      <c r="F255" s="9">
        <f>$B255*'Kroger Payments'!D$19</f>
        <v>230.06527222494682</v>
      </c>
      <c r="G255" s="9">
        <f>$B255*'Kroger Payments'!E$19</f>
        <v>230.06527222494682</v>
      </c>
      <c r="H255" s="9">
        <f>$B255*'Kroger Payments'!F$19</f>
        <v>230.06527222494682</v>
      </c>
      <c r="I255" s="9">
        <f>$B255*'Kroger Payments'!G$19</f>
        <v>230.06527222494682</v>
      </c>
      <c r="J255" s="9">
        <f>$B255*'Kroger Payments'!H$19</f>
        <v>230.06527222494682</v>
      </c>
      <c r="K255" s="9">
        <f>$B255*'Kroger Payments'!I$19</f>
        <v>230.06527222494682</v>
      </c>
      <c r="L255" s="9">
        <f>$B255*'Kroger Payments'!J$19</f>
        <v>242.17397076310192</v>
      </c>
      <c r="M255" s="9">
        <f>$B255*'Kroger Payments'!K$19</f>
        <v>242.17397076310192</v>
      </c>
      <c r="N255" s="9">
        <f>$B255*'Kroger Payments'!L$19</f>
        <v>242.17397076310192</v>
      </c>
      <c r="O255" s="9">
        <f>$B255*'Kroger Payments'!M$19</f>
        <v>242.17397078530121</v>
      </c>
      <c r="P255" s="7">
        <f t="shared" si="7"/>
        <v>2579.1527886492345</v>
      </c>
    </row>
    <row r="256" spans="1:16" x14ac:dyDescent="0.35">
      <c r="A256" s="3" t="s">
        <v>278</v>
      </c>
      <c r="B256" s="16">
        <v>6.20311385E-4</v>
      </c>
      <c r="C256" s="8" t="s">
        <v>279</v>
      </c>
      <c r="D256" s="8" t="str">
        <f t="shared" si="8"/>
        <v>No</v>
      </c>
      <c r="E256" s="9">
        <f>$B256*'Kroger Payments'!C$19</f>
        <v>1122.7097025250973</v>
      </c>
      <c r="F256" s="9">
        <f>$B256*'Kroger Payments'!D$19</f>
        <v>1122.7097025250973</v>
      </c>
      <c r="G256" s="9">
        <f>$B256*'Kroger Payments'!E$19</f>
        <v>1122.7097025250973</v>
      </c>
      <c r="H256" s="9">
        <f>$B256*'Kroger Payments'!F$19</f>
        <v>1122.7097025250973</v>
      </c>
      <c r="I256" s="9">
        <f>$B256*'Kroger Payments'!G$19</f>
        <v>1122.7097025250973</v>
      </c>
      <c r="J256" s="9">
        <f>$B256*'Kroger Payments'!H$19</f>
        <v>1122.7097025250973</v>
      </c>
      <c r="K256" s="9">
        <f>$B256*'Kroger Payments'!I$19</f>
        <v>1122.7097025250973</v>
      </c>
      <c r="L256" s="9">
        <f>$B256*'Kroger Payments'!J$19</f>
        <v>1181.7996868685236</v>
      </c>
      <c r="M256" s="9">
        <f>$B256*'Kroger Payments'!K$19</f>
        <v>1181.7996868685236</v>
      </c>
      <c r="N256" s="9">
        <f>$B256*'Kroger Payments'!L$19</f>
        <v>1181.7996868685236</v>
      </c>
      <c r="O256" s="9">
        <f>$B256*'Kroger Payments'!M$19</f>
        <v>1181.7996869768551</v>
      </c>
      <c r="P256" s="7">
        <f t="shared" si="7"/>
        <v>12586.166665258108</v>
      </c>
    </row>
    <row r="257" spans="1:16" x14ac:dyDescent="0.35">
      <c r="A257" s="3" t="s">
        <v>22</v>
      </c>
      <c r="B257" s="16">
        <v>4.81846521E-4</v>
      </c>
      <c r="C257" s="8" t="s">
        <v>280</v>
      </c>
      <c r="D257" s="8" t="str">
        <f t="shared" si="8"/>
        <v>No</v>
      </c>
      <c r="E257" s="9">
        <f>$B257*'Kroger Payments'!C$19</f>
        <v>872.10033111783548</v>
      </c>
      <c r="F257" s="9">
        <f>$B257*'Kroger Payments'!D$19</f>
        <v>872.10033111783548</v>
      </c>
      <c r="G257" s="9">
        <f>$B257*'Kroger Payments'!E$19</f>
        <v>872.10033111783548</v>
      </c>
      <c r="H257" s="9">
        <f>$B257*'Kroger Payments'!F$19</f>
        <v>872.10033111783548</v>
      </c>
      <c r="I257" s="9">
        <f>$B257*'Kroger Payments'!G$19</f>
        <v>872.10033111783548</v>
      </c>
      <c r="J257" s="9">
        <f>$B257*'Kroger Payments'!H$19</f>
        <v>872.10033111783548</v>
      </c>
      <c r="K257" s="9">
        <f>$B257*'Kroger Payments'!I$19</f>
        <v>872.10033111783548</v>
      </c>
      <c r="L257" s="9">
        <f>$B257*'Kroger Payments'!J$19</f>
        <v>918.00034854508999</v>
      </c>
      <c r="M257" s="9">
        <f>$B257*'Kroger Payments'!K$19</f>
        <v>918.00034854508999</v>
      </c>
      <c r="N257" s="9">
        <f>$B257*'Kroger Payments'!L$19</f>
        <v>918.00034854508999</v>
      </c>
      <c r="O257" s="9">
        <f>$B257*'Kroger Payments'!M$19</f>
        <v>918.00034862923997</v>
      </c>
      <c r="P257" s="7">
        <f t="shared" si="7"/>
        <v>9776.7037120893583</v>
      </c>
    </row>
    <row r="258" spans="1:16" x14ac:dyDescent="0.35">
      <c r="A258" s="3" t="s">
        <v>34</v>
      </c>
      <c r="B258" s="16">
        <v>2.3601996790000002E-3</v>
      </c>
      <c r="C258" s="8" t="s">
        <v>281</v>
      </c>
      <c r="D258" s="8" t="str">
        <f t="shared" si="8"/>
        <v>No</v>
      </c>
      <c r="E258" s="9">
        <f>$B258*'Kroger Payments'!C$19</f>
        <v>4271.7563204323915</v>
      </c>
      <c r="F258" s="9">
        <f>$B258*'Kroger Payments'!D$19</f>
        <v>4271.7563204323915</v>
      </c>
      <c r="G258" s="9">
        <f>$B258*'Kroger Payments'!E$19</f>
        <v>4271.7563204323915</v>
      </c>
      <c r="H258" s="9">
        <f>$B258*'Kroger Payments'!F$19</f>
        <v>4271.7563204323915</v>
      </c>
      <c r="I258" s="9">
        <f>$B258*'Kroger Payments'!G$19</f>
        <v>4271.7563204323915</v>
      </c>
      <c r="J258" s="9">
        <f>$B258*'Kroger Payments'!H$19</f>
        <v>4271.7563204323915</v>
      </c>
      <c r="K258" s="9">
        <f>$B258*'Kroger Payments'!I$19</f>
        <v>4271.7563204323915</v>
      </c>
      <c r="L258" s="9">
        <f>$B258*'Kroger Payments'!J$19</f>
        <v>4496.5856004551488</v>
      </c>
      <c r="M258" s="9">
        <f>$B258*'Kroger Payments'!K$19</f>
        <v>4496.5856004551488</v>
      </c>
      <c r="N258" s="9">
        <f>$B258*'Kroger Payments'!L$19</f>
        <v>4496.5856004551488</v>
      </c>
      <c r="O258" s="9">
        <f>$B258*'Kroger Payments'!M$19</f>
        <v>4496.5856008673363</v>
      </c>
      <c r="P258" s="7">
        <f t="shared" si="7"/>
        <v>47888.636645259518</v>
      </c>
    </row>
    <row r="259" spans="1:16" x14ac:dyDescent="0.35">
      <c r="A259" s="3" t="s">
        <v>282</v>
      </c>
      <c r="B259" s="16">
        <v>4.4322409609999997E-3</v>
      </c>
      <c r="C259" s="8" t="s">
        <v>282</v>
      </c>
      <c r="D259" s="8" t="str">
        <f t="shared" si="8"/>
        <v>No</v>
      </c>
      <c r="E259" s="9">
        <f>$B259*'Kroger Payments'!C$19</f>
        <v>8021.9709829182993</v>
      </c>
      <c r="F259" s="9">
        <f>$B259*'Kroger Payments'!D$19</f>
        <v>8021.9709829182993</v>
      </c>
      <c r="G259" s="9">
        <f>$B259*'Kroger Payments'!E$19</f>
        <v>8021.9709829182993</v>
      </c>
      <c r="H259" s="9">
        <f>$B259*'Kroger Payments'!F$19</f>
        <v>8021.9709829182993</v>
      </c>
      <c r="I259" s="9">
        <f>$B259*'Kroger Payments'!G$19</f>
        <v>8021.9709829182993</v>
      </c>
      <c r="J259" s="9">
        <f>$B259*'Kroger Payments'!H$19</f>
        <v>8021.9709829182993</v>
      </c>
      <c r="K259" s="9">
        <f>$B259*'Kroger Payments'!I$19</f>
        <v>8021.9709829182993</v>
      </c>
      <c r="L259" s="9">
        <f>$B259*'Kroger Payments'!J$19</f>
        <v>8444.1799820192628</v>
      </c>
      <c r="M259" s="9">
        <f>$B259*'Kroger Payments'!K$19</f>
        <v>8444.1799820192628</v>
      </c>
      <c r="N259" s="9">
        <f>$B259*'Kroger Payments'!L$19</f>
        <v>8444.1799820192628</v>
      </c>
      <c r="O259" s="9">
        <f>$B259*'Kroger Payments'!M$19</f>
        <v>8444.1799827933119</v>
      </c>
      <c r="P259" s="7">
        <f t="shared" si="7"/>
        <v>89930.516809279201</v>
      </c>
    </row>
    <row r="260" spans="1:16" x14ac:dyDescent="0.35">
      <c r="A260" s="3" t="s">
        <v>60</v>
      </c>
      <c r="B260" s="16">
        <v>9.6355544000000003E-5</v>
      </c>
      <c r="C260" s="8" t="s">
        <v>283</v>
      </c>
      <c r="D260" s="8" t="str">
        <f t="shared" si="8"/>
        <v>No</v>
      </c>
      <c r="E260" s="9">
        <f>$B260*'Kroger Payments'!C$19</f>
        <v>174.39516145731218</v>
      </c>
      <c r="F260" s="9">
        <f>$B260*'Kroger Payments'!D$19</f>
        <v>174.39516145731218</v>
      </c>
      <c r="G260" s="9">
        <f>$B260*'Kroger Payments'!E$19</f>
        <v>174.39516145731218</v>
      </c>
      <c r="H260" s="9">
        <f>$B260*'Kroger Payments'!F$19</f>
        <v>174.39516145731218</v>
      </c>
      <c r="I260" s="9">
        <f>$B260*'Kroger Payments'!G$19</f>
        <v>174.39516145731218</v>
      </c>
      <c r="J260" s="9">
        <f>$B260*'Kroger Payments'!H$19</f>
        <v>174.39516145731218</v>
      </c>
      <c r="K260" s="9">
        <f>$B260*'Kroger Payments'!I$19</f>
        <v>174.39516145731218</v>
      </c>
      <c r="L260" s="9">
        <f>$B260*'Kroger Payments'!J$19</f>
        <v>183.57385416559177</v>
      </c>
      <c r="M260" s="9">
        <f>$B260*'Kroger Payments'!K$19</f>
        <v>183.57385416559177</v>
      </c>
      <c r="N260" s="9">
        <f>$B260*'Kroger Payments'!L$19</f>
        <v>183.57385416559177</v>
      </c>
      <c r="O260" s="9">
        <f>$B260*'Kroger Payments'!M$19</f>
        <v>183.57385418241938</v>
      </c>
      <c r="P260" s="7">
        <f t="shared" ref="P260:P283" si="9">SUM(E260:O260)</f>
        <v>1955.0615468803799</v>
      </c>
    </row>
    <row r="261" spans="1:16" x14ac:dyDescent="0.35">
      <c r="A261" s="3" t="s">
        <v>168</v>
      </c>
      <c r="B261" s="16">
        <v>5.1225499999999998E-7</v>
      </c>
      <c r="C261" s="8" t="s">
        <v>284</v>
      </c>
      <c r="D261" s="8" t="str">
        <f t="shared" si="8"/>
        <v>Yes</v>
      </c>
      <c r="E261" s="9">
        <f>$B261*'Kroger Payments'!C$19</f>
        <v>0.92713703564701422</v>
      </c>
      <c r="F261" s="9">
        <f>$B261*'Kroger Payments'!D$19</f>
        <v>0.92713703564701422</v>
      </c>
      <c r="G261" s="9">
        <f>$B261*'Kroger Payments'!E$19</f>
        <v>0.92713703564701422</v>
      </c>
      <c r="H261" s="9">
        <f>$B261*'Kroger Payments'!F$19</f>
        <v>0.92713703564701422</v>
      </c>
      <c r="I261" s="9">
        <f>$B261*'Kroger Payments'!G$19</f>
        <v>0.92713703564701422</v>
      </c>
      <c r="J261" s="9">
        <f>$B261*'Kroger Payments'!H$19</f>
        <v>0.92713703564701422</v>
      </c>
      <c r="K261" s="9">
        <f>$B261*'Kroger Payments'!I$19</f>
        <v>0.92713703564701422</v>
      </c>
      <c r="L261" s="9">
        <f>$B261*'Kroger Payments'!J$19</f>
        <v>0.97593372173369919</v>
      </c>
      <c r="M261" s="9">
        <f>$B261*'Kroger Payments'!K$19</f>
        <v>0.97593372173369919</v>
      </c>
      <c r="N261" s="9">
        <f>$B261*'Kroger Payments'!L$19</f>
        <v>0.97593372173369919</v>
      </c>
      <c r="O261" s="9">
        <f>$B261*'Kroger Payments'!M$19</f>
        <v>0.97593372182315974</v>
      </c>
      <c r="P261" s="7">
        <f t="shared" si="9"/>
        <v>10.393694136553357</v>
      </c>
    </row>
    <row r="262" spans="1:16" x14ac:dyDescent="0.35">
      <c r="A262" s="3" t="s">
        <v>22</v>
      </c>
      <c r="B262" s="16">
        <v>6.8686740299999998E-4</v>
      </c>
      <c r="C262" s="8" t="s">
        <v>285</v>
      </c>
      <c r="D262" s="8" t="str">
        <f t="shared" ref="D262:D282" si="10">IF(B262&lt;0.000011, "Yes", "No")</f>
        <v>No</v>
      </c>
      <c r="E262" s="9">
        <f>$B262*'Kroger Payments'!C$19</f>
        <v>1243.170311465936</v>
      </c>
      <c r="F262" s="9">
        <f>$B262*'Kroger Payments'!D$19</f>
        <v>1243.170311465936</v>
      </c>
      <c r="G262" s="9">
        <f>$B262*'Kroger Payments'!E$19</f>
        <v>1243.170311465936</v>
      </c>
      <c r="H262" s="9">
        <f>$B262*'Kroger Payments'!F$19</f>
        <v>1243.170311465936</v>
      </c>
      <c r="I262" s="9">
        <f>$B262*'Kroger Payments'!G$19</f>
        <v>1243.170311465936</v>
      </c>
      <c r="J262" s="9">
        <f>$B262*'Kroger Payments'!H$19</f>
        <v>1243.170311465936</v>
      </c>
      <c r="K262" s="9">
        <f>$B262*'Kroger Payments'!I$19</f>
        <v>1243.170311465936</v>
      </c>
      <c r="L262" s="9">
        <f>$B262*'Kroger Payments'!J$19</f>
        <v>1308.6003278588801</v>
      </c>
      <c r="M262" s="9">
        <f>$B262*'Kroger Payments'!K$19</f>
        <v>1308.6003278588801</v>
      </c>
      <c r="N262" s="9">
        <f>$B262*'Kroger Payments'!L$19</f>
        <v>1308.6003278588801</v>
      </c>
      <c r="O262" s="9">
        <f>$B262*'Kroger Payments'!M$19</f>
        <v>1308.6003279788351</v>
      </c>
      <c r="P262" s="7">
        <f t="shared" si="9"/>
        <v>13936.593491817026</v>
      </c>
    </row>
    <row r="263" spans="1:16" x14ac:dyDescent="0.35">
      <c r="A263" s="3" t="s">
        <v>31</v>
      </c>
      <c r="B263" s="16">
        <v>7.6289717159999998E-3</v>
      </c>
      <c r="C263" s="8" t="s">
        <v>31</v>
      </c>
      <c r="D263" s="8" t="str">
        <f t="shared" si="10"/>
        <v>No</v>
      </c>
      <c r="E263" s="9">
        <f>$B263*'Kroger Payments'!C$19</f>
        <v>13807.775857350645</v>
      </c>
      <c r="F263" s="9">
        <f>$B263*'Kroger Payments'!D$19</f>
        <v>13807.775857350645</v>
      </c>
      <c r="G263" s="9">
        <f>$B263*'Kroger Payments'!E$19</f>
        <v>13807.775857350645</v>
      </c>
      <c r="H263" s="9">
        <f>$B263*'Kroger Payments'!F$19</f>
        <v>13807.775857350645</v>
      </c>
      <c r="I263" s="9">
        <f>$B263*'Kroger Payments'!G$19</f>
        <v>13807.775857350645</v>
      </c>
      <c r="J263" s="9">
        <f>$B263*'Kroger Payments'!H$19</f>
        <v>13807.775857350645</v>
      </c>
      <c r="K263" s="9">
        <f>$B263*'Kroger Payments'!I$19</f>
        <v>13807.775857350645</v>
      </c>
      <c r="L263" s="9">
        <f>$B263*'Kroger Payments'!J$19</f>
        <v>14534.500902474365</v>
      </c>
      <c r="M263" s="9">
        <f>$B263*'Kroger Payments'!K$19</f>
        <v>14534.500902474365</v>
      </c>
      <c r="N263" s="9">
        <f>$B263*'Kroger Payments'!L$19</f>
        <v>14534.500902474365</v>
      </c>
      <c r="O263" s="9">
        <f>$B263*'Kroger Payments'!M$19</f>
        <v>14534.500903806693</v>
      </c>
      <c r="P263" s="7">
        <f t="shared" si="9"/>
        <v>154792.4346126843</v>
      </c>
    </row>
    <row r="264" spans="1:16" x14ac:dyDescent="0.35">
      <c r="A264" s="3" t="s">
        <v>63</v>
      </c>
      <c r="B264" s="16">
        <v>8.6448035000000006E-5</v>
      </c>
      <c r="C264" s="8" t="s">
        <v>286</v>
      </c>
      <c r="D264" s="8" t="str">
        <f t="shared" si="10"/>
        <v>No</v>
      </c>
      <c r="E264" s="9">
        <f>$B264*'Kroger Payments'!C$19</f>
        <v>156.4634311181137</v>
      </c>
      <c r="F264" s="9">
        <f>$B264*'Kroger Payments'!D$19</f>
        <v>156.4634311181137</v>
      </c>
      <c r="G264" s="9">
        <f>$B264*'Kroger Payments'!E$19</f>
        <v>156.4634311181137</v>
      </c>
      <c r="H264" s="9">
        <f>$B264*'Kroger Payments'!F$19</f>
        <v>156.4634311181137</v>
      </c>
      <c r="I264" s="9">
        <f>$B264*'Kroger Payments'!G$19</f>
        <v>156.4634311181137</v>
      </c>
      <c r="J264" s="9">
        <f>$B264*'Kroger Payments'!H$19</f>
        <v>156.4634311181137</v>
      </c>
      <c r="K264" s="9">
        <f>$B264*'Kroger Payments'!I$19</f>
        <v>156.4634311181137</v>
      </c>
      <c r="L264" s="9">
        <f>$B264*'Kroger Payments'!J$19</f>
        <v>164.69834854538286</v>
      </c>
      <c r="M264" s="9">
        <f>$B264*'Kroger Payments'!K$19</f>
        <v>164.69834854538286</v>
      </c>
      <c r="N264" s="9">
        <f>$B264*'Kroger Payments'!L$19</f>
        <v>164.69834854538286</v>
      </c>
      <c r="O264" s="9">
        <f>$B264*'Kroger Payments'!M$19</f>
        <v>164.69834856048021</v>
      </c>
      <c r="P264" s="7">
        <f t="shared" si="9"/>
        <v>1754.0374120234251</v>
      </c>
    </row>
    <row r="265" spans="1:16" x14ac:dyDescent="0.35">
      <c r="A265" s="3" t="s">
        <v>14</v>
      </c>
      <c r="B265" s="16">
        <v>5.7715994699999995E-4</v>
      </c>
      <c r="C265" s="8" t="s">
        <v>287</v>
      </c>
      <c r="D265" s="8" t="str">
        <f t="shared" si="10"/>
        <v>No</v>
      </c>
      <c r="E265" s="9">
        <f>$B265*'Kroger Payments'!C$19</f>
        <v>1044.6093495539678</v>
      </c>
      <c r="F265" s="9">
        <f>$B265*'Kroger Payments'!D$19</f>
        <v>1044.6093495539678</v>
      </c>
      <c r="G265" s="9">
        <f>$B265*'Kroger Payments'!E$19</f>
        <v>1044.6093495539678</v>
      </c>
      <c r="H265" s="9">
        <f>$B265*'Kroger Payments'!F$19</f>
        <v>1044.6093495539678</v>
      </c>
      <c r="I265" s="9">
        <f>$B265*'Kroger Payments'!G$19</f>
        <v>1044.6093495539678</v>
      </c>
      <c r="J265" s="9">
        <f>$B265*'Kroger Payments'!H$19</f>
        <v>1044.6093495539678</v>
      </c>
      <c r="K265" s="9">
        <f>$B265*'Kroger Payments'!I$19</f>
        <v>1044.6093495539678</v>
      </c>
      <c r="L265" s="9">
        <f>$B265*'Kroger Payments'!J$19</f>
        <v>1099.5887890041768</v>
      </c>
      <c r="M265" s="9">
        <f>$B265*'Kroger Payments'!K$19</f>
        <v>1099.5887890041768</v>
      </c>
      <c r="N265" s="9">
        <f>$B265*'Kroger Payments'!L$19</f>
        <v>1099.5887890041768</v>
      </c>
      <c r="O265" s="9">
        <f>$B265*'Kroger Payments'!M$19</f>
        <v>1099.5887891049724</v>
      </c>
      <c r="P265" s="7">
        <f t="shared" si="9"/>
        <v>11710.620602995277</v>
      </c>
    </row>
    <row r="266" spans="1:16" x14ac:dyDescent="0.35">
      <c r="A266" s="3" t="s">
        <v>75</v>
      </c>
      <c r="B266" s="16">
        <v>1.1744758071E-2</v>
      </c>
      <c r="C266" s="8" t="s">
        <v>288</v>
      </c>
      <c r="D266" s="8" t="str">
        <f t="shared" si="10"/>
        <v>No</v>
      </c>
      <c r="E266" s="9">
        <f>$B266*'Kroger Payments'!C$19</f>
        <v>21256.991502939523</v>
      </c>
      <c r="F266" s="9">
        <f>$B266*'Kroger Payments'!D$19</f>
        <v>21256.991502939523</v>
      </c>
      <c r="G266" s="9">
        <f>$B266*'Kroger Payments'!E$19</f>
        <v>21256.991502939523</v>
      </c>
      <c r="H266" s="9">
        <f>$B266*'Kroger Payments'!F$19</f>
        <v>21256.991502939523</v>
      </c>
      <c r="I266" s="9">
        <f>$B266*'Kroger Payments'!G$19</f>
        <v>21256.991502939523</v>
      </c>
      <c r="J266" s="9">
        <f>$B266*'Kroger Payments'!H$19</f>
        <v>21256.991502939523</v>
      </c>
      <c r="K266" s="9">
        <f>$B266*'Kroger Payments'!I$19</f>
        <v>21256.991502939523</v>
      </c>
      <c r="L266" s="9">
        <f>$B266*'Kroger Payments'!J$19</f>
        <v>22375.780529410025</v>
      </c>
      <c r="M266" s="9">
        <f>$B266*'Kroger Payments'!K$19</f>
        <v>22375.780529410025</v>
      </c>
      <c r="N266" s="9">
        <f>$B266*'Kroger Payments'!L$19</f>
        <v>22375.780529410025</v>
      </c>
      <c r="O266" s="9">
        <f>$B266*'Kroger Payments'!M$19</f>
        <v>22375.780531461136</v>
      </c>
      <c r="P266" s="7">
        <f t="shared" si="9"/>
        <v>238302.06264026789</v>
      </c>
    </row>
    <row r="267" spans="1:16" x14ac:dyDescent="0.35">
      <c r="A267" s="3" t="s">
        <v>75</v>
      </c>
      <c r="B267" s="16">
        <v>8.0885314199999998E-4</v>
      </c>
      <c r="C267" s="8" t="s">
        <v>289</v>
      </c>
      <c r="D267" s="8" t="str">
        <f t="shared" si="10"/>
        <v>No</v>
      </c>
      <c r="E267" s="9">
        <f>$B267*'Kroger Payments'!C$19</f>
        <v>1463.953898639649</v>
      </c>
      <c r="F267" s="9">
        <f>$B267*'Kroger Payments'!D$19</f>
        <v>1463.953898639649</v>
      </c>
      <c r="G267" s="9">
        <f>$B267*'Kroger Payments'!E$19</f>
        <v>1463.953898639649</v>
      </c>
      <c r="H267" s="9">
        <f>$B267*'Kroger Payments'!F$19</f>
        <v>1463.953898639649</v>
      </c>
      <c r="I267" s="9">
        <f>$B267*'Kroger Payments'!G$19</f>
        <v>1463.953898639649</v>
      </c>
      <c r="J267" s="9">
        <f>$B267*'Kroger Payments'!H$19</f>
        <v>1463.953898639649</v>
      </c>
      <c r="K267" s="9">
        <f>$B267*'Kroger Payments'!I$19</f>
        <v>1463.953898639649</v>
      </c>
      <c r="L267" s="9">
        <f>$B267*'Kroger Payments'!J$19</f>
        <v>1541.0041038312097</v>
      </c>
      <c r="M267" s="9">
        <f>$B267*'Kroger Payments'!K$19</f>
        <v>1541.0041038312097</v>
      </c>
      <c r="N267" s="9">
        <f>$B267*'Kroger Payments'!L$19</f>
        <v>1541.0041038312097</v>
      </c>
      <c r="O267" s="9">
        <f>$B267*'Kroger Payments'!M$19</f>
        <v>1541.0041039724683</v>
      </c>
      <c r="P267" s="7">
        <f t="shared" si="9"/>
        <v>16411.693705943642</v>
      </c>
    </row>
    <row r="268" spans="1:16" x14ac:dyDescent="0.35">
      <c r="A268" s="3" t="s">
        <v>28</v>
      </c>
      <c r="B268" s="16">
        <v>2.3763653602000001E-2</v>
      </c>
      <c r="C268" s="8" t="s">
        <v>28</v>
      </c>
      <c r="D268" s="8" t="str">
        <f t="shared" si="10"/>
        <v>No</v>
      </c>
      <c r="E268" s="9">
        <f>$B268*'Kroger Payments'!C$19</f>
        <v>43010.147986258351</v>
      </c>
      <c r="F268" s="9">
        <f>$B268*'Kroger Payments'!D$19</f>
        <v>43010.147986258351</v>
      </c>
      <c r="G268" s="9">
        <f>$B268*'Kroger Payments'!E$19</f>
        <v>43010.147986258351</v>
      </c>
      <c r="H268" s="9">
        <f>$B268*'Kroger Payments'!F$19</f>
        <v>43010.147986258351</v>
      </c>
      <c r="I268" s="9">
        <f>$B268*'Kroger Payments'!G$19</f>
        <v>43010.147986258351</v>
      </c>
      <c r="J268" s="9">
        <f>$B268*'Kroger Payments'!H$19</f>
        <v>43010.147986258351</v>
      </c>
      <c r="K268" s="9">
        <f>$B268*'Kroger Payments'!I$19</f>
        <v>43010.147986258351</v>
      </c>
      <c r="L268" s="9">
        <f>$B268*'Kroger Payments'!J$19</f>
        <v>45273.839985535109</v>
      </c>
      <c r="M268" s="9">
        <f>$B268*'Kroger Payments'!K$19</f>
        <v>45273.839985535109</v>
      </c>
      <c r="N268" s="9">
        <f>$B268*'Kroger Payments'!L$19</f>
        <v>45273.839985535109</v>
      </c>
      <c r="O268" s="9">
        <f>$B268*'Kroger Payments'!M$19</f>
        <v>45273.839989685213</v>
      </c>
      <c r="P268" s="7">
        <f t="shared" si="9"/>
        <v>482166.39585009904</v>
      </c>
    </row>
    <row r="269" spans="1:16" x14ac:dyDescent="0.35">
      <c r="A269" s="3" t="s">
        <v>34</v>
      </c>
      <c r="B269" s="16">
        <v>2.1862013849999998E-3</v>
      </c>
      <c r="C269" s="8" t="s">
        <v>290</v>
      </c>
      <c r="D269" s="8" t="str">
        <f t="shared" si="10"/>
        <v>No</v>
      </c>
      <c r="E269" s="9">
        <f>$B269*'Kroger Payments'!C$19</f>
        <v>3956.8345285381238</v>
      </c>
      <c r="F269" s="9">
        <f>$B269*'Kroger Payments'!D$19</f>
        <v>3956.8345285381238</v>
      </c>
      <c r="G269" s="9">
        <f>$B269*'Kroger Payments'!E$19</f>
        <v>3956.8345285381238</v>
      </c>
      <c r="H269" s="9">
        <f>$B269*'Kroger Payments'!F$19</f>
        <v>3956.8345285381238</v>
      </c>
      <c r="I269" s="9">
        <f>$B269*'Kroger Payments'!G$19</f>
        <v>3956.8345285381238</v>
      </c>
      <c r="J269" s="9">
        <f>$B269*'Kroger Payments'!H$19</f>
        <v>3956.8345285381238</v>
      </c>
      <c r="K269" s="9">
        <f>$B269*'Kroger Payments'!I$19</f>
        <v>3956.8345285381238</v>
      </c>
      <c r="L269" s="9">
        <f>$B269*'Kroger Payments'!J$19</f>
        <v>4165.0889774085517</v>
      </c>
      <c r="M269" s="9">
        <f>$B269*'Kroger Payments'!K$19</f>
        <v>4165.0889774085517</v>
      </c>
      <c r="N269" s="9">
        <f>$B269*'Kroger Payments'!L$19</f>
        <v>4165.0889774085517</v>
      </c>
      <c r="O269" s="9">
        <f>$B269*'Kroger Payments'!M$19</f>
        <v>4165.0889777903512</v>
      </c>
      <c r="P269" s="7">
        <f t="shared" si="9"/>
        <v>44358.197609782866</v>
      </c>
    </row>
    <row r="270" spans="1:16" x14ac:dyDescent="0.35">
      <c r="A270" s="3" t="s">
        <v>22</v>
      </c>
      <c r="B270" s="16">
        <v>8.3792652899999996E-4</v>
      </c>
      <c r="C270" s="8" t="s">
        <v>291</v>
      </c>
      <c r="D270" s="8" t="str">
        <f t="shared" si="10"/>
        <v>No</v>
      </c>
      <c r="E270" s="9">
        <f>$B270*'Kroger Payments'!C$19</f>
        <v>1516.5742026667419</v>
      </c>
      <c r="F270" s="9">
        <f>$B270*'Kroger Payments'!D$19</f>
        <v>1516.5742026667419</v>
      </c>
      <c r="G270" s="9">
        <f>$B270*'Kroger Payments'!E$19</f>
        <v>1516.5742026667419</v>
      </c>
      <c r="H270" s="9">
        <f>$B270*'Kroger Payments'!F$19</f>
        <v>1516.5742026667419</v>
      </c>
      <c r="I270" s="9">
        <f>$B270*'Kroger Payments'!G$19</f>
        <v>1516.5742026667419</v>
      </c>
      <c r="J270" s="9">
        <f>$B270*'Kroger Payments'!H$19</f>
        <v>1516.5742026667419</v>
      </c>
      <c r="K270" s="9">
        <f>$B270*'Kroger Payments'!I$19</f>
        <v>1516.5742026667419</v>
      </c>
      <c r="L270" s="9">
        <f>$B270*'Kroger Payments'!J$19</f>
        <v>1596.3938975439389</v>
      </c>
      <c r="M270" s="9">
        <f>$B270*'Kroger Payments'!K$19</f>
        <v>1596.3938975439389</v>
      </c>
      <c r="N270" s="9">
        <f>$B270*'Kroger Payments'!L$19</f>
        <v>1596.3938975439389</v>
      </c>
      <c r="O270" s="9">
        <f>$B270*'Kroger Payments'!M$19</f>
        <v>1596.393897690275</v>
      </c>
      <c r="P270" s="7">
        <f t="shared" si="9"/>
        <v>17001.595008989287</v>
      </c>
    </row>
    <row r="271" spans="1:16" x14ac:dyDescent="0.35">
      <c r="A271" s="3" t="s">
        <v>22</v>
      </c>
      <c r="B271" s="16">
        <v>0.101863863702</v>
      </c>
      <c r="C271" s="8" t="s">
        <v>22</v>
      </c>
      <c r="D271" s="8" t="str">
        <f t="shared" si="10"/>
        <v>No</v>
      </c>
      <c r="E271" s="9">
        <f>$B271*'Kroger Payments'!C$19</f>
        <v>184364.74145147196</v>
      </c>
      <c r="F271" s="9">
        <f>$B271*'Kroger Payments'!D$19</f>
        <v>184364.74145147196</v>
      </c>
      <c r="G271" s="9">
        <f>$B271*'Kroger Payments'!E$19</f>
        <v>184364.74145147196</v>
      </c>
      <c r="H271" s="9">
        <f>$B271*'Kroger Payments'!F$19</f>
        <v>184364.74145147196</v>
      </c>
      <c r="I271" s="9">
        <f>$B271*'Kroger Payments'!G$19</f>
        <v>184364.74145147196</v>
      </c>
      <c r="J271" s="9">
        <f>$B271*'Kroger Payments'!H$19</f>
        <v>184364.74145147196</v>
      </c>
      <c r="K271" s="9">
        <f>$B271*'Kroger Payments'!I$19</f>
        <v>184364.74145147196</v>
      </c>
      <c r="L271" s="9">
        <f>$B271*'Kroger Payments'!J$19</f>
        <v>194068.14889628629</v>
      </c>
      <c r="M271" s="9">
        <f>$B271*'Kroger Payments'!K$19</f>
        <v>194068.14889628629</v>
      </c>
      <c r="N271" s="9">
        <f>$B271*'Kroger Payments'!L$19</f>
        <v>194068.14889628629</v>
      </c>
      <c r="O271" s="9">
        <f>$B271*'Kroger Payments'!M$19</f>
        <v>194068.14891407586</v>
      </c>
      <c r="P271" s="7">
        <f t="shared" si="9"/>
        <v>2066825.7857632386</v>
      </c>
    </row>
    <row r="272" spans="1:16" x14ac:dyDescent="0.35">
      <c r="A272" s="3" t="s">
        <v>34</v>
      </c>
      <c r="B272" s="16">
        <v>2.6226811149999999E-3</v>
      </c>
      <c r="C272" s="8" t="s">
        <v>292</v>
      </c>
      <c r="D272" s="8" t="str">
        <f t="shared" si="10"/>
        <v>No</v>
      </c>
      <c r="E272" s="9">
        <f>$B272*'Kroger Payments'!C$19</f>
        <v>4746.8249102663831</v>
      </c>
      <c r="F272" s="9">
        <f>$B272*'Kroger Payments'!D$19</f>
        <v>4746.8249102663831</v>
      </c>
      <c r="G272" s="9">
        <f>$B272*'Kroger Payments'!E$19</f>
        <v>4746.8249102663831</v>
      </c>
      <c r="H272" s="9">
        <f>$B272*'Kroger Payments'!F$19</f>
        <v>4746.8249102663831</v>
      </c>
      <c r="I272" s="9">
        <f>$B272*'Kroger Payments'!G$19</f>
        <v>4746.8249102663831</v>
      </c>
      <c r="J272" s="9">
        <f>$B272*'Kroger Payments'!H$19</f>
        <v>4746.8249102663831</v>
      </c>
      <c r="K272" s="9">
        <f>$B272*'Kroger Payments'!I$19</f>
        <v>4746.8249102663831</v>
      </c>
      <c r="L272" s="9">
        <f>$B272*'Kroger Payments'!J$19</f>
        <v>4996.6578002804035</v>
      </c>
      <c r="M272" s="9">
        <f>$B272*'Kroger Payments'!K$19</f>
        <v>4996.6578002804035</v>
      </c>
      <c r="N272" s="9">
        <f>$B272*'Kroger Payments'!L$19</f>
        <v>4996.6578002804035</v>
      </c>
      <c r="O272" s="9">
        <f>$B272*'Kroger Payments'!M$19</f>
        <v>4996.6578007384296</v>
      </c>
      <c r="P272" s="7">
        <f t="shared" si="9"/>
        <v>53214.405573444317</v>
      </c>
    </row>
    <row r="273" spans="1:19" x14ac:dyDescent="0.35">
      <c r="A273" s="3" t="s">
        <v>22</v>
      </c>
      <c r="B273" s="16">
        <v>3.2617111529999999E-3</v>
      </c>
      <c r="C273" s="8" t="s">
        <v>293</v>
      </c>
      <c r="D273" s="8" t="str">
        <f t="shared" si="10"/>
        <v>No</v>
      </c>
      <c r="E273" s="9">
        <f>$B273*'Kroger Payments'!C$19</f>
        <v>5903.4137480926975</v>
      </c>
      <c r="F273" s="9">
        <f>$B273*'Kroger Payments'!D$19</f>
        <v>5903.4137480926975</v>
      </c>
      <c r="G273" s="9">
        <f>$B273*'Kroger Payments'!E$19</f>
        <v>5903.4137480926975</v>
      </c>
      <c r="H273" s="9">
        <f>$B273*'Kroger Payments'!F$19</f>
        <v>5903.4137480926975</v>
      </c>
      <c r="I273" s="9">
        <f>$B273*'Kroger Payments'!G$19</f>
        <v>5903.4137480926975</v>
      </c>
      <c r="J273" s="9">
        <f>$B273*'Kroger Payments'!H$19</f>
        <v>5903.4137480926975</v>
      </c>
      <c r="K273" s="9">
        <f>$B273*'Kroger Payments'!I$19</f>
        <v>5903.4137480926975</v>
      </c>
      <c r="L273" s="9">
        <f>$B273*'Kroger Payments'!J$19</f>
        <v>6214.1197348344185</v>
      </c>
      <c r="M273" s="9">
        <f>$B273*'Kroger Payments'!K$19</f>
        <v>6214.1197348344185</v>
      </c>
      <c r="N273" s="9">
        <f>$B273*'Kroger Payments'!L$19</f>
        <v>6214.1197348344185</v>
      </c>
      <c r="O273" s="9">
        <f>$B273*'Kroger Payments'!M$19</f>
        <v>6214.119735404046</v>
      </c>
      <c r="P273" s="7">
        <f t="shared" si="9"/>
        <v>66180.37517655619</v>
      </c>
    </row>
    <row r="274" spans="1:19" x14ac:dyDescent="0.35">
      <c r="A274" s="3" t="s">
        <v>66</v>
      </c>
      <c r="B274" s="16">
        <v>2.9869477229999999E-3</v>
      </c>
      <c r="C274" s="8" t="s">
        <v>66</v>
      </c>
      <c r="D274" s="8" t="str">
        <f t="shared" si="10"/>
        <v>No</v>
      </c>
      <c r="E274" s="9">
        <f>$B274*'Kroger Payments'!C$19</f>
        <v>5406.1158164094422</v>
      </c>
      <c r="F274" s="9">
        <f>$B274*'Kroger Payments'!D$19</f>
        <v>5406.1158164094422</v>
      </c>
      <c r="G274" s="9">
        <f>$B274*'Kroger Payments'!E$19</f>
        <v>5406.1158164094422</v>
      </c>
      <c r="H274" s="9">
        <f>$B274*'Kroger Payments'!F$19</f>
        <v>5406.1158164094422</v>
      </c>
      <c r="I274" s="9">
        <f>$B274*'Kroger Payments'!G$19</f>
        <v>5406.1158164094422</v>
      </c>
      <c r="J274" s="9">
        <f>$B274*'Kroger Payments'!H$19</f>
        <v>5406.1158164094422</v>
      </c>
      <c r="K274" s="9">
        <f>$B274*'Kroger Payments'!I$19</f>
        <v>5406.1158164094422</v>
      </c>
      <c r="L274" s="9">
        <f>$B274*'Kroger Payments'!J$19</f>
        <v>5690.6482277994137</v>
      </c>
      <c r="M274" s="9">
        <f>$B274*'Kroger Payments'!K$19</f>
        <v>5690.6482277994137</v>
      </c>
      <c r="N274" s="9">
        <f>$B274*'Kroger Payments'!L$19</f>
        <v>5690.6482277994137</v>
      </c>
      <c r="O274" s="9">
        <f>$B274*'Kroger Payments'!M$19</f>
        <v>5690.6482283210562</v>
      </c>
      <c r="P274" s="7">
        <f t="shared" si="9"/>
        <v>60605.403626585394</v>
      </c>
    </row>
    <row r="275" spans="1:19" x14ac:dyDescent="0.35">
      <c r="A275" s="3" t="s">
        <v>34</v>
      </c>
      <c r="B275" s="16">
        <v>5.8543562600000003E-4</v>
      </c>
      <c r="C275" s="8" t="s">
        <v>294</v>
      </c>
      <c r="D275" s="8" t="str">
        <f t="shared" si="10"/>
        <v>No</v>
      </c>
      <c r="E275" s="9">
        <f>$B275*'Kroger Payments'!C$19</f>
        <v>1059.5876093972613</v>
      </c>
      <c r="F275" s="9">
        <f>$B275*'Kroger Payments'!D$19</f>
        <v>1059.5876093972613</v>
      </c>
      <c r="G275" s="9">
        <f>$B275*'Kroger Payments'!E$19</f>
        <v>1059.5876093972613</v>
      </c>
      <c r="H275" s="9">
        <f>$B275*'Kroger Payments'!F$19</f>
        <v>1059.5876093972613</v>
      </c>
      <c r="I275" s="9">
        <f>$B275*'Kroger Payments'!G$19</f>
        <v>1059.5876093972613</v>
      </c>
      <c r="J275" s="9">
        <f>$B275*'Kroger Payments'!H$19</f>
        <v>1059.5876093972613</v>
      </c>
      <c r="K275" s="9">
        <f>$B275*'Kroger Payments'!I$19</f>
        <v>1059.5876093972613</v>
      </c>
      <c r="L275" s="9">
        <f>$B275*'Kroger Payments'!J$19</f>
        <v>1115.3553783129066</v>
      </c>
      <c r="M275" s="9">
        <f>$B275*'Kroger Payments'!K$19</f>
        <v>1115.3553783129066</v>
      </c>
      <c r="N275" s="9">
        <f>$B275*'Kroger Payments'!L$19</f>
        <v>1115.3553783129066</v>
      </c>
      <c r="O275" s="9">
        <f>$B275*'Kroger Payments'!M$19</f>
        <v>1115.3553784151477</v>
      </c>
      <c r="P275" s="7">
        <f t="shared" si="9"/>
        <v>11878.534779134696</v>
      </c>
    </row>
    <row r="276" spans="1:19" x14ac:dyDescent="0.35">
      <c r="A276" s="3" t="s">
        <v>34</v>
      </c>
      <c r="B276" s="16">
        <v>3.6942175200000002E-4</v>
      </c>
      <c r="C276" s="8" t="s">
        <v>295</v>
      </c>
      <c r="D276" s="8" t="str">
        <f t="shared" si="10"/>
        <v>No</v>
      </c>
      <c r="E276" s="9">
        <f>$B276*'Kroger Payments'!C$19</f>
        <v>668.6212688071497</v>
      </c>
      <c r="F276" s="9">
        <f>$B276*'Kroger Payments'!D$19</f>
        <v>668.6212688071497</v>
      </c>
      <c r="G276" s="9">
        <f>$B276*'Kroger Payments'!E$19</f>
        <v>668.6212688071497</v>
      </c>
      <c r="H276" s="9">
        <f>$B276*'Kroger Payments'!F$19</f>
        <v>668.6212688071497</v>
      </c>
      <c r="I276" s="9">
        <f>$B276*'Kroger Payments'!G$19</f>
        <v>668.6212688071497</v>
      </c>
      <c r="J276" s="9">
        <f>$B276*'Kroger Payments'!H$19</f>
        <v>668.6212688071497</v>
      </c>
      <c r="K276" s="9">
        <f>$B276*'Kroger Payments'!I$19</f>
        <v>668.6212688071497</v>
      </c>
      <c r="L276" s="9">
        <f>$B276*'Kroger Payments'!J$19</f>
        <v>703.81186190226288</v>
      </c>
      <c r="M276" s="9">
        <f>$B276*'Kroger Payments'!K$19</f>
        <v>703.81186190226288</v>
      </c>
      <c r="N276" s="9">
        <f>$B276*'Kroger Payments'!L$19</f>
        <v>703.81186190226288</v>
      </c>
      <c r="O276" s="9">
        <f>$B276*'Kroger Payments'!M$19</f>
        <v>703.81186196677891</v>
      </c>
      <c r="P276" s="7">
        <f t="shared" si="9"/>
        <v>7495.5963293236146</v>
      </c>
    </row>
    <row r="277" spans="1:19" x14ac:dyDescent="0.35">
      <c r="A277" s="3" t="s">
        <v>22</v>
      </c>
      <c r="B277" s="16">
        <v>5.71927749E-4</v>
      </c>
      <c r="C277" s="8" t="s">
        <v>296</v>
      </c>
      <c r="D277" s="8" t="str">
        <f t="shared" si="10"/>
        <v>No</v>
      </c>
      <c r="E277" s="9">
        <f>$B277*'Kroger Payments'!C$19</f>
        <v>1035.1395258457792</v>
      </c>
      <c r="F277" s="9">
        <f>$B277*'Kroger Payments'!D$19</f>
        <v>1035.1395258457792</v>
      </c>
      <c r="G277" s="9">
        <f>$B277*'Kroger Payments'!E$19</f>
        <v>1035.1395258457792</v>
      </c>
      <c r="H277" s="9">
        <f>$B277*'Kroger Payments'!F$19</f>
        <v>1035.1395258457792</v>
      </c>
      <c r="I277" s="9">
        <f>$B277*'Kroger Payments'!G$19</f>
        <v>1035.1395258457792</v>
      </c>
      <c r="J277" s="9">
        <f>$B277*'Kroger Payments'!H$19</f>
        <v>1035.1395258457792</v>
      </c>
      <c r="K277" s="9">
        <f>$B277*'Kroger Payments'!I$19</f>
        <v>1035.1395258457792</v>
      </c>
      <c r="L277" s="9">
        <f>$B277*'Kroger Payments'!J$19</f>
        <v>1089.6205535218728</v>
      </c>
      <c r="M277" s="9">
        <f>$B277*'Kroger Payments'!K$19</f>
        <v>1089.6205535218728</v>
      </c>
      <c r="N277" s="9">
        <f>$B277*'Kroger Payments'!L$19</f>
        <v>1089.6205535218728</v>
      </c>
      <c r="O277" s="9">
        <f>$B277*'Kroger Payments'!M$19</f>
        <v>1089.6205536217547</v>
      </c>
      <c r="P277" s="7">
        <f t="shared" si="9"/>
        <v>11604.458895107828</v>
      </c>
    </row>
    <row r="278" spans="1:19" x14ac:dyDescent="0.35">
      <c r="A278" s="3" t="s">
        <v>22</v>
      </c>
      <c r="B278" s="16">
        <v>9.7677246499999998E-4</v>
      </c>
      <c r="C278" s="8" t="s">
        <v>297</v>
      </c>
      <c r="D278" s="8" t="str">
        <f t="shared" si="10"/>
        <v>No</v>
      </c>
      <c r="E278" s="9">
        <f>$B278*'Kroger Payments'!C$19</f>
        <v>1767.8732812792982</v>
      </c>
      <c r="F278" s="9">
        <f>$B278*'Kroger Payments'!D$19</f>
        <v>1767.8732812792982</v>
      </c>
      <c r="G278" s="9">
        <f>$B278*'Kroger Payments'!E$19</f>
        <v>1767.8732812792982</v>
      </c>
      <c r="H278" s="9">
        <f>$B278*'Kroger Payments'!F$19</f>
        <v>1767.8732812792982</v>
      </c>
      <c r="I278" s="9">
        <f>$B278*'Kroger Payments'!G$19</f>
        <v>1767.8732812792982</v>
      </c>
      <c r="J278" s="9">
        <f>$B278*'Kroger Payments'!H$19</f>
        <v>1767.8732812792982</v>
      </c>
      <c r="K278" s="9">
        <f>$B278*'Kroger Payments'!I$19</f>
        <v>1767.8732812792982</v>
      </c>
      <c r="L278" s="9">
        <f>$B278*'Kroger Payments'!J$19</f>
        <v>1860.919243451893</v>
      </c>
      <c r="M278" s="9">
        <f>$B278*'Kroger Payments'!K$19</f>
        <v>1860.919243451893</v>
      </c>
      <c r="N278" s="9">
        <f>$B278*'Kroger Payments'!L$19</f>
        <v>1860.919243451893</v>
      </c>
      <c r="O278" s="9">
        <f>$B278*'Kroger Payments'!M$19</f>
        <v>1860.9192436224771</v>
      </c>
      <c r="P278" s="7">
        <f t="shared" si="9"/>
        <v>19818.789942933246</v>
      </c>
    </row>
    <row r="279" spans="1:19" x14ac:dyDescent="0.35">
      <c r="A279" s="3" t="s">
        <v>14</v>
      </c>
      <c r="B279" s="16">
        <v>2.554463949E-3</v>
      </c>
      <c r="C279" s="8" t="s">
        <v>298</v>
      </c>
      <c r="D279" s="8" t="str">
        <f t="shared" si="10"/>
        <v>No</v>
      </c>
      <c r="E279" s="9">
        <f>$B279*'Kroger Payments'!C$19</f>
        <v>4623.357767797339</v>
      </c>
      <c r="F279" s="9">
        <f>$B279*'Kroger Payments'!D$19</f>
        <v>4623.357767797339</v>
      </c>
      <c r="G279" s="9">
        <f>$B279*'Kroger Payments'!E$19</f>
        <v>4623.357767797339</v>
      </c>
      <c r="H279" s="9">
        <f>$B279*'Kroger Payments'!F$19</f>
        <v>4623.357767797339</v>
      </c>
      <c r="I279" s="9">
        <f>$B279*'Kroger Payments'!G$19</f>
        <v>4623.357767797339</v>
      </c>
      <c r="J279" s="9">
        <f>$B279*'Kroger Payments'!H$19</f>
        <v>4623.357767797339</v>
      </c>
      <c r="K279" s="9">
        <f>$B279*'Kroger Payments'!I$19</f>
        <v>4623.357767797339</v>
      </c>
      <c r="L279" s="9">
        <f>$B279*'Kroger Payments'!J$19</f>
        <v>4866.6923871550935</v>
      </c>
      <c r="M279" s="9">
        <f>$B279*'Kroger Payments'!K$19</f>
        <v>4866.6923871550935</v>
      </c>
      <c r="N279" s="9">
        <f>$B279*'Kroger Payments'!L$19</f>
        <v>4866.6923871550935</v>
      </c>
      <c r="O279" s="9">
        <f>$B279*'Kroger Payments'!M$19</f>
        <v>4866.692387601207</v>
      </c>
      <c r="P279" s="7">
        <f t="shared" si="9"/>
        <v>51830.273923647859</v>
      </c>
    </row>
    <row r="280" spans="1:19" x14ac:dyDescent="0.35">
      <c r="A280" s="3" t="s">
        <v>28</v>
      </c>
      <c r="B280" s="16">
        <v>5.7879310000000001E-4</v>
      </c>
      <c r="C280" s="8" t="s">
        <v>299</v>
      </c>
      <c r="D280" s="8" t="str">
        <f t="shared" si="10"/>
        <v>No</v>
      </c>
      <c r="E280" s="9">
        <f>$B280*'Kroger Payments'!C$19</f>
        <v>1047.565214564906</v>
      </c>
      <c r="F280" s="9">
        <f>$B280*'Kroger Payments'!D$19</f>
        <v>1047.565214564906</v>
      </c>
      <c r="G280" s="9">
        <f>$B280*'Kroger Payments'!E$19</f>
        <v>1047.565214564906</v>
      </c>
      <c r="H280" s="9">
        <f>$B280*'Kroger Payments'!F$19</f>
        <v>1047.565214564906</v>
      </c>
      <c r="I280" s="9">
        <f>$B280*'Kroger Payments'!G$19</f>
        <v>1047.565214564906</v>
      </c>
      <c r="J280" s="9">
        <f>$B280*'Kroger Payments'!H$19</f>
        <v>1047.565214564906</v>
      </c>
      <c r="K280" s="9">
        <f>$B280*'Kroger Payments'!I$19</f>
        <v>1047.565214564906</v>
      </c>
      <c r="L280" s="9">
        <f>$B280*'Kroger Payments'!J$19</f>
        <v>1102.7002258577957</v>
      </c>
      <c r="M280" s="9">
        <f>$B280*'Kroger Payments'!K$19</f>
        <v>1102.7002258577957</v>
      </c>
      <c r="N280" s="9">
        <f>$B280*'Kroger Payments'!L$19</f>
        <v>1102.7002258577957</v>
      </c>
      <c r="O280" s="9">
        <f>$B280*'Kroger Payments'!M$19</f>
        <v>1102.7002259588764</v>
      </c>
      <c r="P280" s="7">
        <f t="shared" si="9"/>
        <v>11743.757405486605</v>
      </c>
    </row>
    <row r="281" spans="1:19" x14ac:dyDescent="0.35">
      <c r="A281" s="3" t="s">
        <v>28</v>
      </c>
      <c r="B281" s="16">
        <v>8.9859821400000003E-4</v>
      </c>
      <c r="C281" s="8" t="s">
        <v>300</v>
      </c>
      <c r="D281" s="8" t="str">
        <f t="shared" si="10"/>
        <v>No</v>
      </c>
      <c r="E281" s="9">
        <f>$B281*'Kroger Payments'!C$19</f>
        <v>1626.3846802191513</v>
      </c>
      <c r="F281" s="9">
        <f>$B281*'Kroger Payments'!D$19</f>
        <v>1626.3846802191513</v>
      </c>
      <c r="G281" s="9">
        <f>$B281*'Kroger Payments'!E$19</f>
        <v>1626.3846802191513</v>
      </c>
      <c r="H281" s="9">
        <f>$B281*'Kroger Payments'!F$19</f>
        <v>1626.3846802191513</v>
      </c>
      <c r="I281" s="9">
        <f>$B281*'Kroger Payments'!G$19</f>
        <v>1626.3846802191513</v>
      </c>
      <c r="J281" s="9">
        <f>$B281*'Kroger Payments'!H$19</f>
        <v>1626.3846802191513</v>
      </c>
      <c r="K281" s="9">
        <f>$B281*'Kroger Payments'!I$19</f>
        <v>1626.3846802191513</v>
      </c>
      <c r="L281" s="9">
        <f>$B281*'Kroger Payments'!J$19</f>
        <v>1711.9838739148961</v>
      </c>
      <c r="M281" s="9">
        <f>$B281*'Kroger Payments'!K$19</f>
        <v>1711.9838739148961</v>
      </c>
      <c r="N281" s="9">
        <f>$B281*'Kroger Payments'!L$19</f>
        <v>1711.9838739148961</v>
      </c>
      <c r="O281" s="9">
        <f>$B281*'Kroger Payments'!M$19</f>
        <v>1711.983874071828</v>
      </c>
      <c r="P281" s="7">
        <f t="shared" si="9"/>
        <v>18232.628257350578</v>
      </c>
    </row>
    <row r="282" spans="1:19" x14ac:dyDescent="0.35">
      <c r="A282" s="3" t="s">
        <v>24</v>
      </c>
      <c r="B282" s="16">
        <v>6.1508331999999996E-5</v>
      </c>
      <c r="C282" s="8" t="s">
        <v>301</v>
      </c>
      <c r="D282" s="8" t="str">
        <f t="shared" si="10"/>
        <v>No</v>
      </c>
      <c r="E282" s="9">
        <f>$B282*'Kroger Payments'!C$19</f>
        <v>111.32473591877557</v>
      </c>
      <c r="F282" s="9">
        <f>$B282*'Kroger Payments'!D$19</f>
        <v>111.32473591877557</v>
      </c>
      <c r="G282" s="9">
        <f>$B282*'Kroger Payments'!E$19</f>
        <v>111.32473591877557</v>
      </c>
      <c r="H282" s="9">
        <f>$B282*'Kroger Payments'!F$19</f>
        <v>111.32473591877557</v>
      </c>
      <c r="I282" s="9">
        <f>$B282*'Kroger Payments'!G$19</f>
        <v>111.32473591877557</v>
      </c>
      <c r="J282" s="9">
        <f>$B282*'Kroger Payments'!H$19</f>
        <v>111.32473591877557</v>
      </c>
      <c r="K282" s="9">
        <f>$B282*'Kroger Payments'!I$19</f>
        <v>111.32473591877557</v>
      </c>
      <c r="L282" s="9">
        <f>$B282*'Kroger Payments'!J$19</f>
        <v>117.18393254607956</v>
      </c>
      <c r="M282" s="9">
        <f>$B282*'Kroger Payments'!K$19</f>
        <v>117.18393254607956</v>
      </c>
      <c r="N282" s="9">
        <f>$B282*'Kroger Payments'!L$19</f>
        <v>117.18393254607956</v>
      </c>
      <c r="O282" s="9">
        <f>$B282*'Kroger Payments'!M$19</f>
        <v>117.18393255682142</v>
      </c>
      <c r="P282" s="7">
        <f t="shared" si="9"/>
        <v>1248.008881626489</v>
      </c>
    </row>
    <row r="283" spans="1:19" x14ac:dyDescent="0.35">
      <c r="A283" s="8" t="s">
        <v>270</v>
      </c>
      <c r="B283" s="20"/>
      <c r="C283" s="8" t="s">
        <v>270</v>
      </c>
      <c r="D283" s="8"/>
      <c r="E283" s="9">
        <f>'Kroger Payments'!C14</f>
        <v>1905171.685456851</v>
      </c>
      <c r="F283" s="9">
        <f>'Kroger Payments'!D14</f>
        <v>1905171.685456851</v>
      </c>
      <c r="G283" s="9">
        <f>'Kroger Payments'!E14</f>
        <v>1905171.685456851</v>
      </c>
      <c r="H283" s="9">
        <f>'Kroger Payments'!F14</f>
        <v>1905171.685456851</v>
      </c>
      <c r="I283" s="9">
        <f>'Kroger Payments'!G14</f>
        <v>1905171.685456851</v>
      </c>
      <c r="J283" s="9">
        <f>'Kroger Payments'!H14</f>
        <v>1905171.685456851</v>
      </c>
      <c r="K283" s="9">
        <f>'Kroger Payments'!I14</f>
        <v>1905171.685456851</v>
      </c>
      <c r="L283" s="9">
        <f>'Kroger Payments'!J14</f>
        <v>1905171.685456851</v>
      </c>
      <c r="M283" s="9">
        <f>'Kroger Payments'!K14</f>
        <v>1905171.685456851</v>
      </c>
      <c r="N283" s="9">
        <f>'Kroger Payments'!L14</f>
        <v>1905171.685456851</v>
      </c>
      <c r="O283" s="9">
        <f>'Kroger Payments'!M14</f>
        <v>1905171.6856314917</v>
      </c>
      <c r="P283" s="7">
        <f t="shared" si="9"/>
        <v>20956888.540200002</v>
      </c>
      <c r="Q283" s="4"/>
      <c r="R283" s="4"/>
      <c r="S283" s="4"/>
    </row>
    <row r="284" spans="1:19" x14ac:dyDescent="0.35">
      <c r="H284"/>
      <c r="I284"/>
      <c r="J284"/>
      <c r="K284"/>
      <c r="L284"/>
      <c r="M284"/>
      <c r="N284"/>
      <c r="O284"/>
      <c r="P284" s="7"/>
    </row>
    <row r="285" spans="1:19" x14ac:dyDescent="0.35">
      <c r="B285" s="3"/>
    </row>
  </sheetData>
  <sheetProtection algorithmName="SHA-512" hashValue="0LwsWZvy/CwNnZXp3Ugd3n82MMMN8JnamLBHBEEkT/xfbHAaOLqM0j09RVfcm7mTAjx8mMlRqlBw875X8ZmtaA==" saltValue="HrYOlabns+romPDlwPLLUg==" spinCount="100000" sheet="1" sort="0" autoFilter="0" pivotTables="0"/>
  <autoFilter ref="A3:P283" xr:uid="{A817AFE2-400E-4528-B798-D605BB194E27}"/>
  <mergeCells count="1">
    <mergeCell ref="A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CE00A358BF4841943790CAF8B1ABDA" ma:contentTypeVersion="0" ma:contentTypeDescription="Create a new document." ma:contentTypeScope="" ma:versionID="3d0a015dd9b83dff9d1dd83729c84a4b">
  <xsd:schema xmlns:xsd="http://www.w3.org/2001/XMLSchema" xmlns:xs="http://www.w3.org/2001/XMLSchema" xmlns:p="http://schemas.microsoft.com/office/2006/metadata/properties" targetNamespace="http://schemas.microsoft.com/office/2006/metadata/properties" ma:root="true" ma:fieldsID="63f9ca9ed2b1b526ffdf70859b84e6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1858F-171A-42BD-9333-9E31B2F769C1}">
  <ds:schemaRefs>
    <ds:schemaRef ds:uri="http://schemas.microsoft.com/sharepoint/v3/contenttype/forms"/>
  </ds:schemaRefs>
</ds:datastoreItem>
</file>

<file path=customXml/itemProps2.xml><?xml version="1.0" encoding="utf-8"?>
<ds:datastoreItem xmlns:ds="http://schemas.openxmlformats.org/officeDocument/2006/customXml" ds:itemID="{2AD26258-0758-434D-A318-DCD1BDF129C1}">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576BC626-0995-41AE-8309-F98CBA271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Introduction</vt:lpstr>
      <vt:lpstr>All Settlement Totals</vt:lpstr>
      <vt:lpstr>Per Calendar Year</vt:lpstr>
      <vt:lpstr>Allergan</vt:lpstr>
      <vt:lpstr>CVS</vt:lpstr>
      <vt:lpstr>Distributors</vt:lpstr>
      <vt:lpstr>Endo</vt:lpstr>
      <vt:lpstr>Janssen</vt:lpstr>
      <vt:lpstr>Kroger</vt:lpstr>
      <vt:lpstr>Mallinckrodt</vt:lpstr>
      <vt:lpstr>Masters</vt:lpstr>
      <vt:lpstr>McKinsey</vt:lpstr>
      <vt:lpstr>Meijer</vt:lpstr>
      <vt:lpstr>Publicis</vt:lpstr>
      <vt:lpstr>Teva</vt:lpstr>
      <vt:lpstr>Special Circumstance Fund</vt:lpstr>
      <vt:lpstr>Walgreens Michigan</vt:lpstr>
      <vt:lpstr>Walgreens National</vt:lpstr>
      <vt:lpstr>Walmart</vt:lpstr>
      <vt:lpstr>Allergan Payments</vt:lpstr>
      <vt:lpstr>CVS Payments</vt:lpstr>
      <vt:lpstr>Distributor Payments</vt:lpstr>
      <vt:lpstr>Janssen Payments</vt:lpstr>
      <vt:lpstr>Kroger Payments</vt:lpstr>
      <vt:lpstr>Litigation Costs Fund Payments</vt:lpstr>
      <vt:lpstr>Teva Payments</vt:lpstr>
      <vt:lpstr>Walmart Payments</vt:lpstr>
      <vt:lpstr>Walgreens Michigan Payments</vt:lpstr>
      <vt:lpstr>Walgreens National Payments</vt:lpstr>
      <vt:lpstr>State Payment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Opioid Settlement Payment Estimator</dc:title>
  <dc:subject/>
  <dc:creator>Glashower, Harmony (AG)</dc:creator>
  <cp:keywords/>
  <dc:description/>
  <cp:lastModifiedBy>Glashower, Harmony (AG)</cp:lastModifiedBy>
  <cp:revision/>
  <dcterms:created xsi:type="dcterms:W3CDTF">2023-08-14T17:45:30Z</dcterms:created>
  <dcterms:modified xsi:type="dcterms:W3CDTF">2025-02-21T16:45:23Z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0x010100AECE00A358BF4841943790CAF8B1ABDA</vt:lpwstr>
  </property>
  <property fmtid="{D5CDD505-2E9C-101B-9397-08002B2CF9AE}" pid="3" name="MSIP_Label_2f46dfe0-534f-4c95-815c-5b1af86b9823_Enabled">
    <vt:lpwstr>true</vt:lpwstr>
  </property>
  <property fmtid="{D5CDD505-2E9C-101B-9397-08002B2CF9AE}" pid="4" name="MSIP_Label_2f46dfe0-534f-4c95-815c-5b1af86b9823_SetDate">
    <vt:lpwstr>2023-11-16T22:04:36Z</vt:lpwstr>
  </property>
  <property fmtid="{D5CDD505-2E9C-101B-9397-08002B2CF9AE}" pid="5" name="MSIP_Label_2f46dfe0-534f-4c95-815c-5b1af86b9823_Method">
    <vt:lpwstr>Privileged</vt:lpwstr>
  </property>
  <property fmtid="{D5CDD505-2E9C-101B-9397-08002B2CF9AE}" pid="6" name="MSIP_Label_2f46dfe0-534f-4c95-815c-5b1af86b9823_Name">
    <vt:lpwstr>2f46dfe0-534f-4c95-815c-5b1af86b9823</vt:lpwstr>
  </property>
  <property fmtid="{D5CDD505-2E9C-101B-9397-08002B2CF9AE}" pid="7" name="MSIP_Label_2f46dfe0-534f-4c95-815c-5b1af86b9823_SiteId">
    <vt:lpwstr>d5fb7087-3777-42ad-966a-892ef47225d1</vt:lpwstr>
  </property>
  <property fmtid="{D5CDD505-2E9C-101B-9397-08002B2CF9AE}" pid="8" name="MSIP_Label_2f46dfe0-534f-4c95-815c-5b1af86b9823_ActionId">
    <vt:lpwstr>ec5e97c9-942a-431a-b0d2-2103061fe46d</vt:lpwstr>
  </property>
  <property fmtid="{D5CDD505-2E9C-101B-9397-08002B2CF9AE}" pid="9" name="MSIP_Label_2f46dfe0-534f-4c95-815c-5b1af86b9823_ContentBits">
    <vt:lpwstr>0</vt:lpwstr>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ies>
</file>